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ustomer Ledger" state="visible" r:id="rId5"/>
    <sheet sheetId="3" name="Aging Buckets" state="visible" r:id="rId6"/>
    <sheet sheetId="4" name="Collections Queue" state="visible" r:id="rId7"/>
    <sheet sheetId="5" name="Summary Dashboard" state="visible" r:id="rId8"/>
  </sheets>
  <calcPr calcId="171027"/>
</workbook>
</file>

<file path=xl/sharedStrings.xml><?xml version="1.0" encoding="utf-8"?>
<sst xmlns="http://schemas.openxmlformats.org/spreadsheetml/2006/main" count="170" uniqueCount="129">
  <si>
    <t>Accounts Receivable Aging Template</t>
  </si>
  <si>
    <t>Purpose</t>
  </si>
  <si>
    <t>This workbook turns an invoice-level customer ledger into an accounts receivable aging report: enter invoice dates, due dates, invoice amounts, and payments, then review open balances by aging bucket, a prioritized collections queue, and a summary dashboard for the as-of date you choose.</t>
  </si>
  <si>
    <t>Clean-room disclosure</t>
  </si>
  <si>
    <t>Clean-room disclosure: every formula, layout, and sample figure in this workbook was authored from scratch for excel.tv. No vendor workbook, template, branding, or sample dataset was downloaded, inspected, or adapted in building this file. All customer names, invoice numbers, and dollar amounts shown are synthetic and for illustration only.</t>
  </si>
  <si>
    <t>What’s in this workbook</t>
  </si>
  <si>
    <t>Customer Ledger</t>
  </si>
  <si>
    <t>The invoice-level input sheet. Enter customer name, invoice number, invoice date, due date, amount, payments received, payment terms, owner, and notes. Balance, days past due, aging bucket, open flag, and priority score calculate automatically.</t>
  </si>
  <si>
    <t>Aging Buckets</t>
  </si>
  <si>
    <t>A bucket-level rollup of Current, 1-30, 31-60, 61-90, and 90+ balances, invoice counts, percent of open AR, and suggested collection actions.</t>
  </si>
  <si>
    <t>Collections Queue</t>
  </si>
  <si>
    <t>A calculated top-six list of open overdue invoices, ranked by days past due first and balance second, with customer, invoice, bucket, owner, and action notes pulled from the ledger.</t>
  </si>
  <si>
    <t>Summary Dashboard</t>
  </si>
  <si>
    <t>The one-page summary: set the as-of date, then review total open AR, overdue AR, percent overdue, 60+ exposure, 90+ exposure, top customer balance, and bucket totals.</t>
  </si>
  <si>
    <t>How to use this workbook</t>
  </si>
  <si>
    <t>1. Open Summary Dashboard and set the As-of Date. The sample workbook uses 2026-07-31, but you can replace it with your reporting date.</t>
  </si>
  <si>
    <t>2. Open Customer Ledger and replace the synthetic sample invoices with your own customer-level invoice data. Enter payments received against each invoice rather than editing the calculated Balance column.</t>
  </si>
  <si>
    <t>3. Review Aging Buckets to see how much open AR sits in Current, 1-30, 31-60, 61-90, and 90+ buckets.</t>
  </si>
  <si>
    <t>4. Use Collections Queue for the first follow-up pass. It ranks open overdue invoices by age first, then by balance, so old invoices do not get buried behind newer large balances.</t>
  </si>
  <si>
    <t>5. Use Summary Dashboard for reporting and management review. It pulls from the ledger and bucket sheet automatically, so you should not type into dashboard output cells.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</si>
  <si>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</si>
  <si>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</si>
  <si>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</si>
  <si>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</si>
  <si>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</si>
  <si>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</si>
  <si>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IF, IFERROR, INDEX, MATCH, ABS, ROUND, LARGE, and arithmetic) is natively supported in Google Sheets, so no formula substitutions are required. Dropdown validation on Payment Terms and Collection Owner also carries over automatically.</t>
  </si>
  <si>
    <t>Limitations</t>
  </si>
  <si>
    <t>This workbook ages invoices from a manually entered As-of Date rather than using TODAY(), because the template is designed to stay portable and auditable across Excel and Google Sheets using a limited native formula set. It assumes each open invoice appears once in Customer Ledger and that payments are entered against the invoice they belong to. The Collections Queue ranks by a calculated priority score (days past due first, balance second); exact duplicate score ties return the first matching ledger row. This is a spreadsheet template, not an accounting subledger, payment processor, credit memo system, or allowance model.</t>
  </si>
  <si>
    <t>★ Free template from Excel.TV — get more free Excel &amp; Google Sheets templates →</t>
  </si>
  <si>
    <t>Enter invoice-level AR data in the blue columns. Balance, Days Past Due, Aging Bucket, Open Invoice Flag, and Priority Score are calculated from the as-of date on Summary Dashboard.</t>
  </si>
  <si>
    <t>Customer</t>
  </si>
  <si>
    <t>Invoice #</t>
  </si>
  <si>
    <t>Invoice Date</t>
  </si>
  <si>
    <t>Due Date</t>
  </si>
  <si>
    <t>Invoice Amount</t>
  </si>
  <si>
    <t>Payments Received</t>
  </si>
  <si>
    <t>Balance</t>
  </si>
  <si>
    <t>Days Past Due</t>
  </si>
  <si>
    <t>Aging Bucket</t>
  </si>
  <si>
    <t>Open Invoice Flag</t>
  </si>
  <si>
    <t>Priority Score</t>
  </si>
  <si>
    <t>Owner</t>
  </si>
  <si>
    <t>Notes</t>
  </si>
  <si>
    <t>Acme Field Services</t>
  </si>
  <si>
    <t>AR-1001</t>
  </si>
  <si>
    <t>Maya</t>
  </si>
  <si>
    <t>Partial payment received; confirm remaining remittance date.</t>
  </si>
  <si>
    <t>AR-1002</t>
  </si>
  <si>
    <t>Second open invoice for same customer; include in one statement.</t>
  </si>
  <si>
    <t>Brightline Studio Group</t>
  </si>
  <si>
    <t>AR-1003</t>
  </si>
  <si>
    <t>Theo</t>
  </si>
  <si>
    <t>Due today at the as-of date.</t>
  </si>
  <si>
    <t>Cedar Ridge Foods</t>
  </si>
  <si>
    <t>AR-1004</t>
  </si>
  <si>
    <t>Nora</t>
  </si>
  <si>
    <t>Disputed delivery credit was resolved; escalate if no payment date.</t>
  </si>
  <si>
    <t>Dovetail Hardware Co.</t>
  </si>
  <si>
    <t>AR-1005</t>
  </si>
  <si>
    <t>More than 90 days past due; request executive follow-up.</t>
  </si>
  <si>
    <t>Elm City Architecture</t>
  </si>
  <si>
    <t>AR-1006</t>
  </si>
  <si>
    <t>Not yet due; keep on normal statement cycle.</t>
  </si>
  <si>
    <t>Fable Learning Lab</t>
  </si>
  <si>
    <t>AR-1007</t>
  </si>
  <si>
    <t>Small balance; send friendly reminder.</t>
  </si>
  <si>
    <t>Granite Peak Outfitters</t>
  </si>
  <si>
    <t>AR-1008</t>
  </si>
  <si>
    <t>Half paid; ask whether the second installment has been scheduled.</t>
  </si>
  <si>
    <t>Harbor North Clinic</t>
  </si>
  <si>
    <t>AR-1009</t>
  </si>
  <si>
    <t>Oldest open invoice in the sample ledger.</t>
  </si>
  <si>
    <t>Ivy &amp; Stone Design</t>
  </si>
  <si>
    <t>AR-1010</t>
  </si>
  <si>
    <t>Confirm invoice reached the new AP inbox.</t>
  </si>
  <si>
    <t>Juniper Cafe Group</t>
  </si>
  <si>
    <t>AR-1011</t>
  </si>
  <si>
    <t>Closed invoice included to show how paid balances drop out of aging.</t>
  </si>
  <si>
    <t>Kestrel Solar Works</t>
  </si>
  <si>
    <t>AR-1012</t>
  </si>
  <si>
    <t>Largest open balance in the 31-60 bucket.</t>
  </si>
  <si>
    <t>Larkspur Events</t>
  </si>
  <si>
    <t>AR-1013</t>
  </si>
  <si>
    <t>Newly overdue; low-pressure reminder is enough for now.</t>
  </si>
  <si>
    <t>Mosaic Manufacturing</t>
  </si>
  <si>
    <t>AR-1014</t>
  </si>
  <si>
    <t>Large 90+ balance; review credit hold before accepting new orders.</t>
  </si>
  <si>
    <t>This sheet rolls the Customer Ledger into standard AR aging buckets and pairs each bucket with a practical collection action. The Min/Max columns document the bucket logic; the totals are formula-driven.</t>
  </si>
  <si>
    <t>Min Days Past Due</t>
  </si>
  <si>
    <t>Max Days Past Due</t>
  </si>
  <si>
    <t>Open Balance</t>
  </si>
  <si>
    <t>Open Invoice Count</t>
  </si>
  <si>
    <t>% of Open AR</t>
  </si>
  <si>
    <t>Collection Action</t>
  </si>
  <si>
    <t>Current</t>
  </si>
  <si>
    <t>Keep on the normal statement cycle; no collection pressure needed yet.</t>
  </si>
  <si>
    <t>1-30</t>
  </si>
  <si>
    <t>Send a friendly reminder with invoice copies and payment options.</t>
  </si>
  <si>
    <t>31-60</t>
  </si>
  <si>
    <t>Ask for a committed payment date and document the customer response.</t>
  </si>
  <si>
    <t>61-90</t>
  </si>
  <si>
    <t>Escalate to the account owner and confirm whether service should continue.</t>
  </si>
  <si>
    <t>90+</t>
  </si>
  <si>
    <t>Review for credit hold, executive outreach, or write-off reserve discussion.</t>
  </si>
  <si>
    <t>Total Open AR</t>
  </si>
  <si>
    <t>This calculated queue shows the six highest-priority open overdue invoices. Priority is days past due first, then balance, so the oldest invoices surface even when a newer invoice has a larger balance.</t>
  </si>
  <si>
    <t>As-of Date</t>
  </si>
  <si>
    <t>Rank</t>
  </si>
  <si>
    <t>Suggested Action</t>
  </si>
  <si>
    <t>Accounts Receivable Aging Dashboard</t>
  </si>
  <si>
    <t>Metric</t>
  </si>
  <si>
    <t>Value</t>
  </si>
  <si>
    <t>How it is calculated</t>
  </si>
  <si>
    <t>Sum of every open invoice balance.</t>
  </si>
  <si>
    <t>Overdue AR</t>
  </si>
  <si>
    <t>Open balances with Days Past Due greater than zero.</t>
  </si>
  <si>
    <t>% Overdue</t>
  </si>
  <si>
    <t>Overdue AR divided by Total Open AR.</t>
  </si>
  <si>
    <t>60+ Day Exposure</t>
  </si>
  <si>
    <t>Open balances more than 60 days past due.</t>
  </si>
  <si>
    <t>90+ Day Exposure</t>
  </si>
  <si>
    <t>Open balances in the 90+ bucket.</t>
  </si>
  <si>
    <t>Count of invoices with a balance above zero.</t>
  </si>
  <si>
    <t>Oldest Open Invoice Days</t>
  </si>
  <si>
    <t>Days past due from the highest priority-score invoice.</t>
  </si>
  <si>
    <t>Aging by bucket</t>
  </si>
  <si>
    <t>Bucket</t>
  </si>
  <si>
    <t>Top collection priority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</si>
</sst>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0.00"/>
    <numFmt numFmtId="166" formatCode="$#,##0"/>
    <numFmt numFmtId="167"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9">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165" fontId="0" fillId="2" borderId="1" xfId="0" applyNumberFormat="1" applyFill="1" applyBorder="1" applyAlignment="1">
      <alignment vertical="center"/>
    </xf>
    <xf numFmtId="165" fontId="0" fillId="3" borderId="1" xfId="0" applyNumberFormat="1" applyFill="1" applyBorder="1" applyAlignment="1">
      <alignment vertical="center"/>
    </xf>
    <xf numFmtId="3" fontId="0" fillId="3" borderId="1" xfId="0" applyNumberFormat="1" applyFill="1" applyBorder="1" applyAlignment="1">
      <alignment horizontal="center" vertical="center"/>
    </xf>
    <xf numFmtId="0" fontId="0" fillId="3" borderId="1" xfId="0" applyFill="1" applyBorder="1" applyAlignment="1">
      <alignment horizontal="center" vertical="center"/>
    </xf>
    <xf numFmtId="3" fontId="0" fillId="3" borderId="1" xfId="0" applyNumberFormat="1" applyFill="1" applyBorder="1" applyAlignment="1">
      <alignment horizontal="center" vertical="center" wrapText="1"/>
    </xf>
    <xf numFmtId="3" fontId="0" fillId="3" borderId="1" xfId="0" applyNumberFormat="1" applyFill="1" applyBorder="1" applyAlignment="1">
      <alignment vertical="center"/>
    </xf>
    <xf numFmtId="0" fontId="4" fillId="2" borderId="1" xfId="0" applyFont="1" applyFill="1" applyBorder="1" applyAlignment="1">
      <alignment horizontal="center" vertical="center"/>
    </xf>
    <xf numFmtId="3" fontId="0" fillId="2" borderId="1" xfId="0" applyNumberFormat="1" applyFill="1" applyBorder="1" applyAlignment="1">
      <alignment horizontal="center" vertical="center"/>
    </xf>
    <xf numFmtId="166" fontId="0" fillId="4" borderId="1" xfId="0" applyNumberFormat="1" applyFill="1" applyBorder="1" applyAlignment="1">
      <alignment vertical="center"/>
    </xf>
    <xf numFmtId="167" fontId="0" fillId="3" borderId="1" xfId="0" applyNumberFormat="1" applyFill="1" applyBorder="1" applyAlignment="1">
      <alignment horizontal="center" vertical="center"/>
    </xf>
    <xf numFmtId="0" fontId="4" fillId="0" borderId="0" xfId="0" applyFont="1"/>
    <xf numFmtId="166" fontId="4" fillId="4" borderId="1" xfId="0" applyNumberFormat="1" applyFont="1" applyFill="1" applyBorder="1" applyAlignment="1">
      <alignment vertical="center"/>
    </xf>
    <xf numFmtId="3" fontId="4" fillId="4" borderId="1" xfId="0" applyNumberFormat="1" applyFont="1" applyFill="1" applyBorder="1" applyAlignment="1">
      <alignment horizontal="center" vertical="center"/>
    </xf>
    <xf numFmtId="0" fontId="7" fillId="4" borderId="0" xfId="0" applyFont="1" applyFill="1" applyAlignment="1">
      <alignment horizontal="center" vertical="center" wrapText="1"/>
    </xf>
    <xf numFmtId="164" fontId="0" fillId="3" borderId="1" xfId="0" applyNumberFormat="1" applyFill="1" applyBorder="1" applyAlignment="1">
      <alignment horizontal="center" vertical="center" wrapText="1"/>
    </xf>
    <xf numFmtId="0" fontId="0" fillId="3" borderId="1" xfId="0" applyFill="1" applyBorder="1" applyAlignment="1">
      <alignment horizontal="left" vertical="center" wrapText="1"/>
    </xf>
    <xf numFmtId="166" fontId="0" fillId="3" borderId="1" xfId="0" applyNumberFormat="1" applyFill="1" applyBorder="1" applyAlignment="1">
      <alignment vertical="center"/>
    </xf>
    <xf numFmtId="164" fontId="4" fillId="2" borderId="1" xfId="0" applyNumberFormat="1" applyFont="1" applyFill="1" applyBorder="1" applyAlignment="1">
      <alignment horizontal="center" vertical="center"/>
    </xf>
    <xf numFmtId="166" fontId="4" fillId="4" borderId="1" xfId="0" applyNumberFormat="1" applyFont="1" applyFill="1" applyBorder="1" applyAlignment="1">
      <alignment horizontal="center" vertical="center"/>
    </xf>
    <xf numFmtId="167" fontId="4" fillId="4" borderId="1" xfId="0" applyNumberFormat="1" applyFont="1" applyFill="1" applyBorder="1" applyAlignment="1">
      <alignment horizontal="center" vertical="center"/>
    </xf>
    <xf numFmtId="167" fontId="0" fillId="3" borderId="1" xfId="0" applyNumberForma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166" fontId="4" fillId="4"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ccounts-receivable-aging-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ccounts-receivable-aging-templat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ccounts-receivable-aging-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ccounts-receivable-aging-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60"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75"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pane ySplit="3" topLeftCell="A4" activePane="bottomLeft" state="frozen"/>
      <selection pane="bottomLeft"/>
    </sheetView>
  </sheetViews>
  <sheetFormatPr defaultRowHeight="15" outlineLevelRow="0" outlineLevelCol="0" x14ac:dyDescent="55"/>
  <cols>
    <col min="1" max="1" width="28" customWidth="1"/>
    <col min="2" max="4" width="14" customWidth="1"/>
    <col min="5" max="5" width="16" customWidth="1"/>
    <col min="6" max="6" width="18" customWidth="1"/>
    <col min="7" max="8" width="14" customWidth="1"/>
    <col min="9" max="10" width="13" customWidth="1"/>
    <col min="11" max="11" width="15" customWidth="1"/>
    <col min="12" max="12" width="12" customWidth="1"/>
    <col min="13" max="13" width="48" customWidth="1"/>
  </cols>
  <sheetData>
    <row r="1" ht="30" customHeight="1" spans="1:13" x14ac:dyDescent="0.25">
      <c r="A1" s="2" t="s">
        <v>30</v>
      </c>
      <c r="B1" s="2"/>
      <c r="C1" s="2"/>
      <c r="D1" s="2"/>
      <c r="E1" s="2"/>
      <c r="F1" s="2"/>
      <c r="G1" s="2"/>
      <c r="H1" s="2"/>
      <c r="I1" s="2"/>
      <c r="J1" s="2"/>
      <c r="K1" s="2"/>
      <c r="L1" s="2"/>
      <c r="M1" s="2"/>
    </row>
    <row r="2" spans="1:13" x14ac:dyDescent="0.25">
      <c r="A2" s="2"/>
      <c r="J2" s="2"/>
      <c r="M2" s="2"/>
    </row>
    <row r="3" ht="30" customHeight="1" spans="1:13" x14ac:dyDescent="0.25">
      <c r="A3" s="11" t="s">
        <v>31</v>
      </c>
      <c r="B3" s="11" t="s">
        <v>32</v>
      </c>
      <c r="C3" s="11" t="s">
        <v>33</v>
      </c>
      <c r="D3" s="11" t="s">
        <v>34</v>
      </c>
      <c r="E3" s="11" t="s">
        <v>35</v>
      </c>
      <c r="F3" s="11" t="s">
        <v>36</v>
      </c>
      <c r="G3" s="11" t="s">
        <v>37</v>
      </c>
      <c r="H3" s="11" t="s">
        <v>38</v>
      </c>
      <c r="I3" s="11" t="s">
        <v>39</v>
      </c>
      <c r="J3" s="11" t="s">
        <v>40</v>
      </c>
      <c r="K3" s="11" t="s">
        <v>41</v>
      </c>
      <c r="L3" s="11" t="s">
        <v>42</v>
      </c>
      <c r="M3" s="11" t="s">
        <v>43</v>
      </c>
    </row>
    <row r="4" ht="30" customHeight="1" spans="1:13" x14ac:dyDescent="0.25">
      <c r="A4" s="12" t="s">
        <v>44</v>
      </c>
      <c r="B4" s="13" t="s">
        <v>45</v>
      </c>
      <c r="C4" s="14">
        <v>46193</v>
      </c>
      <c r="D4" s="14">
        <v>46223</v>
      </c>
      <c r="E4" s="15">
        <v>8200</v>
      </c>
      <c r="F4" s="15">
        <v>2000</v>
      </c>
      <c r="G4" s="16">
        <f>IF(E4-F4&lt;0,0,E4-F4)</f>
      </c>
      <c r="H4" s="17">
        <f>'Summary Dashboard'!$B$3-D4</f>
      </c>
      <c r="I4" s="18">
        <f>IF(G4&lt;=0,"Closed",IF(H4&lt;=0,"Current",IF(H4&lt;=30,"1-30",IF(H4&lt;=60,"31-60",IF(H4&lt;=90,"61-90","90+")))))</f>
      </c>
      <c r="J4" s="19">
        <f>IF(G4&gt;0,1,0)</f>
      </c>
      <c r="K4" s="20">
        <f>IF(H4&gt;0,H4*100000+G4,0)</f>
      </c>
      <c r="L4" s="13" t="s">
        <v>46</v>
      </c>
      <c r="M4" s="6" t="s">
        <v>47</v>
      </c>
    </row>
    <row r="5" ht="30" customHeight="1" spans="1:13" x14ac:dyDescent="0.25">
      <c r="A5" s="12" t="s">
        <v>44</v>
      </c>
      <c r="B5" s="13" t="s">
        <v>48</v>
      </c>
      <c r="C5" s="14">
        <v>46153</v>
      </c>
      <c r="D5" s="14">
        <v>46183</v>
      </c>
      <c r="E5" s="15">
        <v>5400</v>
      </c>
      <c r="F5" s="15">
        <v>0</v>
      </c>
      <c r="G5" s="16">
        <f>IF(E5-F5&lt;0,0,E5-F5)</f>
      </c>
      <c r="H5" s="17">
        <f>'Summary Dashboard'!$B$3-D5</f>
      </c>
      <c r="I5" s="18">
        <f>IF(G5&lt;=0,"Closed",IF(H5&lt;=0,"Current",IF(H5&lt;=30,"1-30",IF(H5&lt;=60,"31-60",IF(H5&lt;=90,"61-90","90+")))))</f>
      </c>
      <c r="J5" s="19">
        <f>IF(G5&gt;0,1,0)</f>
      </c>
      <c r="K5" s="20">
        <f>IF(H5&gt;0,H5*100000+G5,0)</f>
      </c>
      <c r="L5" s="13" t="s">
        <v>46</v>
      </c>
      <c r="M5" s="6" t="s">
        <v>49</v>
      </c>
    </row>
    <row r="6" ht="15" customHeight="1" spans="1:13" x14ac:dyDescent="0.25">
      <c r="A6" s="12" t="s">
        <v>50</v>
      </c>
      <c r="B6" s="13" t="s">
        <v>51</v>
      </c>
      <c r="C6" s="14">
        <v>46204</v>
      </c>
      <c r="D6" s="14">
        <v>46234</v>
      </c>
      <c r="E6" s="15">
        <v>3100</v>
      </c>
      <c r="F6" s="15">
        <v>0</v>
      </c>
      <c r="G6" s="16">
        <f>IF(E6-F6&lt;0,0,E6-F6)</f>
      </c>
      <c r="H6" s="17">
        <f>'Summary Dashboard'!$B$3-D6</f>
      </c>
      <c r="I6" s="18">
        <f>IF(G6&lt;=0,"Closed",IF(H6&lt;=0,"Current",IF(H6&lt;=30,"1-30",IF(H6&lt;=60,"31-60",IF(H6&lt;=90,"61-90","90+")))))</f>
      </c>
      <c r="J6" s="19">
        <f>IF(G6&gt;0,1,0)</f>
      </c>
      <c r="K6" s="20">
        <f>IF(H6&gt;0,H6*100000+G6,0)</f>
      </c>
      <c r="L6" s="13" t="s">
        <v>52</v>
      </c>
      <c r="M6" s="6" t="s">
        <v>53</v>
      </c>
    </row>
    <row r="7" ht="30" customHeight="1" spans="1:13" x14ac:dyDescent="0.25">
      <c r="A7" s="12" t="s">
        <v>54</v>
      </c>
      <c r="B7" s="13" t="s">
        <v>55</v>
      </c>
      <c r="C7" s="14">
        <v>46137</v>
      </c>
      <c r="D7" s="14">
        <v>46167</v>
      </c>
      <c r="E7" s="15">
        <v>9700</v>
      </c>
      <c r="F7" s="15">
        <v>2500</v>
      </c>
      <c r="G7" s="16">
        <f>IF(E7-F7&lt;0,0,E7-F7)</f>
      </c>
      <c r="H7" s="17">
        <f>'Summary Dashboard'!$B$3-D7</f>
      </c>
      <c r="I7" s="18">
        <f>IF(G7&lt;=0,"Closed",IF(H7&lt;=0,"Current",IF(H7&lt;=30,"1-30",IF(H7&lt;=60,"31-60",IF(H7&lt;=90,"61-90","90+")))))</f>
      </c>
      <c r="J7" s="19">
        <f>IF(G7&gt;0,1,0)</f>
      </c>
      <c r="K7" s="20">
        <f>IF(H7&gt;0,H7*100000+G7,0)</f>
      </c>
      <c r="L7" s="13" t="s">
        <v>56</v>
      </c>
      <c r="M7" s="6" t="s">
        <v>57</v>
      </c>
    </row>
    <row r="8" ht="15" customHeight="1" spans="1:13" x14ac:dyDescent="0.25">
      <c r="A8" s="12" t="s">
        <v>58</v>
      </c>
      <c r="B8" s="13" t="s">
        <v>59</v>
      </c>
      <c r="C8" s="14">
        <v>46100</v>
      </c>
      <c r="D8" s="14">
        <v>46130</v>
      </c>
      <c r="E8" s="15">
        <v>6600</v>
      </c>
      <c r="F8" s="15">
        <v>1000</v>
      </c>
      <c r="G8" s="16">
        <f>IF(E8-F8&lt;0,0,E8-F8)</f>
      </c>
      <c r="H8" s="17">
        <f>'Summary Dashboard'!$B$3-D8</f>
      </c>
      <c r="I8" s="18">
        <f>IF(G8&lt;=0,"Closed",IF(H8&lt;=0,"Current",IF(H8&lt;=30,"1-30",IF(H8&lt;=60,"31-60",IF(H8&lt;=90,"61-90","90+")))))</f>
      </c>
      <c r="J8" s="19">
        <f>IF(G8&gt;0,1,0)</f>
      </c>
      <c r="K8" s="20">
        <f>IF(H8&gt;0,H8*100000+G8,0)</f>
      </c>
      <c r="L8" s="13" t="s">
        <v>56</v>
      </c>
      <c r="M8" s="6" t="s">
        <v>60</v>
      </c>
    </row>
    <row r="9" ht="15" customHeight="1" spans="1:13" x14ac:dyDescent="0.25">
      <c r="A9" s="12" t="s">
        <v>61</v>
      </c>
      <c r="B9" s="13" t="s">
        <v>62</v>
      </c>
      <c r="C9" s="14">
        <v>46219</v>
      </c>
      <c r="D9" s="14">
        <v>46249</v>
      </c>
      <c r="E9" s="15">
        <v>4800</v>
      </c>
      <c r="F9" s="15">
        <v>0</v>
      </c>
      <c r="G9" s="16">
        <f>IF(E9-F9&lt;0,0,E9-F9)</f>
      </c>
      <c r="H9" s="17">
        <f>'Summary Dashboard'!$B$3-D9</f>
      </c>
      <c r="I9" s="18">
        <f>IF(G9&lt;=0,"Closed",IF(H9&lt;=0,"Current",IF(H9&lt;=30,"1-30",IF(H9&lt;=60,"31-60",IF(H9&lt;=90,"61-90","90+")))))</f>
      </c>
      <c r="J9" s="19">
        <f>IF(G9&gt;0,1,0)</f>
      </c>
      <c r="K9" s="20">
        <f>IF(H9&gt;0,H9*100000+G9,0)</f>
      </c>
      <c r="L9" s="13" t="s">
        <v>52</v>
      </c>
      <c r="M9" s="6" t="s">
        <v>63</v>
      </c>
    </row>
    <row r="10" ht="15" customHeight="1" spans="1:13" x14ac:dyDescent="0.25">
      <c r="A10" s="12" t="s">
        <v>64</v>
      </c>
      <c r="B10" s="13" t="s">
        <v>65</v>
      </c>
      <c r="C10" s="14">
        <v>46178</v>
      </c>
      <c r="D10" s="14">
        <v>46208</v>
      </c>
      <c r="E10" s="15">
        <v>2250</v>
      </c>
      <c r="F10" s="15">
        <v>250</v>
      </c>
      <c r="G10" s="16">
        <f>IF(E10-F10&lt;0,0,E10-F10)</f>
      </c>
      <c r="H10" s="17">
        <f>'Summary Dashboard'!$B$3-D10</f>
      </c>
      <c r="I10" s="18">
        <f>IF(G10&lt;=0,"Closed",IF(H10&lt;=0,"Current",IF(H10&lt;=30,"1-30",IF(H10&lt;=60,"31-60",IF(H10&lt;=90,"61-90","90+")))))</f>
      </c>
      <c r="J10" s="19">
        <f>IF(G10&gt;0,1,0)</f>
      </c>
      <c r="K10" s="20">
        <f>IF(H10&gt;0,H10*100000+G10,0)</f>
      </c>
      <c r="L10" s="13" t="s">
        <v>46</v>
      </c>
      <c r="M10" s="6" t="s">
        <v>66</v>
      </c>
    </row>
    <row r="11" ht="30" customHeight="1" spans="1:13" x14ac:dyDescent="0.25">
      <c r="A11" s="12" t="s">
        <v>67</v>
      </c>
      <c r="B11" s="13" t="s">
        <v>68</v>
      </c>
      <c r="C11" s="14">
        <v>46171</v>
      </c>
      <c r="D11" s="14">
        <v>46201</v>
      </c>
      <c r="E11" s="15">
        <v>12800</v>
      </c>
      <c r="F11" s="15">
        <v>6400</v>
      </c>
      <c r="G11" s="16">
        <f>IF(E11-F11&lt;0,0,E11-F11)</f>
      </c>
      <c r="H11" s="17">
        <f>'Summary Dashboard'!$B$3-D11</f>
      </c>
      <c r="I11" s="18">
        <f>IF(G11&lt;=0,"Closed",IF(H11&lt;=0,"Current",IF(H11&lt;=30,"1-30",IF(H11&lt;=60,"31-60",IF(H11&lt;=90,"61-90","90+")))))</f>
      </c>
      <c r="J11" s="19">
        <f>IF(G11&gt;0,1,0)</f>
      </c>
      <c r="K11" s="20">
        <f>IF(H11&gt;0,H11*100000+G11,0)</f>
      </c>
      <c r="L11" s="13" t="s">
        <v>52</v>
      </c>
      <c r="M11" s="6" t="s">
        <v>69</v>
      </c>
    </row>
    <row r="12" ht="15" customHeight="1" spans="1:13" x14ac:dyDescent="0.25">
      <c r="A12" s="12" t="s">
        <v>70</v>
      </c>
      <c r="B12" s="13" t="s">
        <v>71</v>
      </c>
      <c r="C12" s="14">
        <v>46081</v>
      </c>
      <c r="D12" s="14">
        <v>46111</v>
      </c>
      <c r="E12" s="15">
        <v>4200</v>
      </c>
      <c r="F12" s="15">
        <v>0</v>
      </c>
      <c r="G12" s="16">
        <f>IF(E12-F12&lt;0,0,E12-F12)</f>
      </c>
      <c r="H12" s="17">
        <f>'Summary Dashboard'!$B$3-D12</f>
      </c>
      <c r="I12" s="18">
        <f>IF(G12&lt;=0,"Closed",IF(H12&lt;=0,"Current",IF(H12&lt;=30,"1-30",IF(H12&lt;=60,"31-60",IF(H12&lt;=90,"61-90","90+")))))</f>
      </c>
      <c r="J12" s="19">
        <f>IF(G12&gt;0,1,0)</f>
      </c>
      <c r="K12" s="20">
        <f>IF(H12&gt;0,H12*100000+G12,0)</f>
      </c>
      <c r="L12" s="13" t="s">
        <v>56</v>
      </c>
      <c r="M12" s="6" t="s">
        <v>72</v>
      </c>
    </row>
    <row r="13" ht="15" customHeight="1" spans="1:13" x14ac:dyDescent="0.25">
      <c r="A13" s="12" t="s">
        <v>73</v>
      </c>
      <c r="B13" s="13" t="s">
        <v>74</v>
      </c>
      <c r="C13" s="14">
        <v>46117</v>
      </c>
      <c r="D13" s="14">
        <v>46147</v>
      </c>
      <c r="E13" s="15">
        <v>3500</v>
      </c>
      <c r="F13" s="15">
        <v>0</v>
      </c>
      <c r="G13" s="16">
        <f>IF(E13-F13&lt;0,0,E13-F13)</f>
      </c>
      <c r="H13" s="17">
        <f>'Summary Dashboard'!$B$3-D13</f>
      </c>
      <c r="I13" s="18">
        <f>IF(G13&lt;=0,"Closed",IF(H13&lt;=0,"Current",IF(H13&lt;=30,"1-30",IF(H13&lt;=60,"31-60",IF(H13&lt;=90,"61-90","90+")))))</f>
      </c>
      <c r="J13" s="19">
        <f>IF(G13&gt;0,1,0)</f>
      </c>
      <c r="K13" s="20">
        <f>IF(H13&gt;0,H13*100000+G13,0)</f>
      </c>
      <c r="L13" s="13" t="s">
        <v>46</v>
      </c>
      <c r="M13" s="6" t="s">
        <v>75</v>
      </c>
    </row>
    <row r="14" ht="30" customHeight="1" spans="1:13" x14ac:dyDescent="0.25">
      <c r="A14" s="12" t="s">
        <v>76</v>
      </c>
      <c r="B14" s="13" t="s">
        <v>77</v>
      </c>
      <c r="C14" s="14">
        <v>46191</v>
      </c>
      <c r="D14" s="14">
        <v>46221</v>
      </c>
      <c r="E14" s="15">
        <v>7600</v>
      </c>
      <c r="F14" s="15">
        <v>7600</v>
      </c>
      <c r="G14" s="16">
        <f>IF(E14-F14&lt;0,0,E14-F14)</f>
      </c>
      <c r="H14" s="17">
        <f>'Summary Dashboard'!$B$3-D14</f>
      </c>
      <c r="I14" s="18">
        <f>IF(G14&lt;=0,"Closed",IF(H14&lt;=0,"Current",IF(H14&lt;=30,"1-30",IF(H14&lt;=60,"31-60",IF(H14&lt;=90,"61-90","90+")))))</f>
      </c>
      <c r="J14" s="19">
        <f>IF(G14&gt;0,1,0)</f>
      </c>
      <c r="K14" s="20">
        <f>IF(H14&gt;0,H14*100000+G14,0)</f>
      </c>
      <c r="L14" s="13" t="s">
        <v>52</v>
      </c>
      <c r="M14" s="6" t="s">
        <v>78</v>
      </c>
    </row>
    <row r="15" ht="15" customHeight="1" spans="1:13" x14ac:dyDescent="0.25">
      <c r="A15" s="12" t="s">
        <v>79</v>
      </c>
      <c r="B15" s="13" t="s">
        <v>80</v>
      </c>
      <c r="C15" s="14">
        <v>46144</v>
      </c>
      <c r="D15" s="14">
        <v>46174</v>
      </c>
      <c r="E15" s="15">
        <v>11100</v>
      </c>
      <c r="F15" s="15">
        <v>1000</v>
      </c>
      <c r="G15" s="16">
        <f>IF(E15-F15&lt;0,0,E15-F15)</f>
      </c>
      <c r="H15" s="17">
        <f>'Summary Dashboard'!$B$3-D15</f>
      </c>
      <c r="I15" s="18">
        <f>IF(G15&lt;=0,"Closed",IF(H15&lt;=0,"Current",IF(H15&lt;=30,"1-30",IF(H15&lt;=60,"31-60",IF(H15&lt;=90,"61-90","90+")))))</f>
      </c>
      <c r="J15" s="19">
        <f>IF(G15&gt;0,1,0)</f>
      </c>
      <c r="K15" s="20">
        <f>IF(H15&gt;0,H15*100000+G15,0)</f>
      </c>
      <c r="L15" s="13" t="s">
        <v>56</v>
      </c>
      <c r="M15" s="6" t="s">
        <v>81</v>
      </c>
    </row>
    <row r="16" ht="15" customHeight="1" spans="1:13" x14ac:dyDescent="0.25">
      <c r="A16" s="12" t="s">
        <v>82</v>
      </c>
      <c r="B16" s="13" t="s">
        <v>83</v>
      </c>
      <c r="C16" s="14">
        <v>46198</v>
      </c>
      <c r="D16" s="14">
        <v>46228</v>
      </c>
      <c r="E16" s="15">
        <v>1800</v>
      </c>
      <c r="F16" s="15">
        <v>0</v>
      </c>
      <c r="G16" s="16">
        <f>IF(E16-F16&lt;0,0,E16-F16)</f>
      </c>
      <c r="H16" s="17">
        <f>'Summary Dashboard'!$B$3-D16</f>
      </c>
      <c r="I16" s="18">
        <f>IF(G16&lt;=0,"Closed",IF(H16&lt;=0,"Current",IF(H16&lt;=30,"1-30",IF(H16&lt;=60,"31-60",IF(H16&lt;=90,"61-90","90+")))))</f>
      </c>
      <c r="J16" s="19">
        <f>IF(G16&gt;0,1,0)</f>
      </c>
      <c r="K16" s="20">
        <f>IF(H16&gt;0,H16*100000+G16,0)</f>
      </c>
      <c r="L16" s="13" t="s">
        <v>46</v>
      </c>
      <c r="M16" s="6" t="s">
        <v>84</v>
      </c>
    </row>
    <row r="17" ht="30" customHeight="1" spans="1:13" x14ac:dyDescent="0.25">
      <c r="A17" s="12" t="s">
        <v>85</v>
      </c>
      <c r="B17" s="13" t="s">
        <v>86</v>
      </c>
      <c r="C17" s="14">
        <v>46112</v>
      </c>
      <c r="D17" s="14">
        <v>46142</v>
      </c>
      <c r="E17" s="15">
        <v>15000</v>
      </c>
      <c r="F17" s="15">
        <v>5000</v>
      </c>
      <c r="G17" s="16">
        <f>IF(E17-F17&lt;0,0,E17-F17)</f>
      </c>
      <c r="H17" s="17">
        <f>'Summary Dashboard'!$B$3-D17</f>
      </c>
      <c r="I17" s="18">
        <f>IF(G17&lt;=0,"Closed",IF(H17&lt;=0,"Current",IF(H17&lt;=30,"1-30",IF(H17&lt;=60,"31-60",IF(H17&lt;=90,"61-90","90+")))))</f>
      </c>
      <c r="J17" s="19">
        <f>IF(G17&gt;0,1,0)</f>
      </c>
      <c r="K17" s="20">
        <f>IF(H17&gt;0,H17*100000+G17,0)</f>
      </c>
      <c r="L17" s="13" t="s">
        <v>52</v>
      </c>
      <c r="M17" s="6" t="s">
        <v>87</v>
      </c>
    </row>
  </sheetData>
  <mergeCells count="1">
    <mergeCell ref="A1:M1"/>
  </mergeCells>
  <dataValidations count="4">
    <dataValidation type="decimal" allowBlank="1" showErrorMessage="1" errorTitle="Invalid number" error="Enter a number between 0 and 10000000" sqref="E10:F17">
      <formula1>0</formula1>
      <formula2>10000000</formula2>
    </dataValidation>
    <dataValidation type="decimal" allowBlank="1" showErrorMessage="1" errorTitle="Invalid number" error="Enter a number between 0 and 10000000" sqref="E4:F17">
      <formula1>0</formula1>
      <formula2>10000000</formula2>
    </dataValidation>
    <dataValidation type="list" showErrorMessage="1" errorTitle="Invalid owner" error="Choose one of: Maya, Nora, Theo" sqref="L10:L17">
      <formula1>"Maya,Nora,Theo"</formula1>
    </dataValidation>
    <dataValidation type="list" showErrorMessage="1" errorTitle="Invalid owner" error="Choose one of: Maya, Nora, Theo" sqref="L4:L17">
      <formula1>"Maya,Nora,Theo"</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owGridLines="0">
      <pane ySplit="3" topLeftCell="A4" activePane="bottomLeft" state="frozen"/>
      <selection pane="bottomLeft"/>
    </sheetView>
  </sheetViews>
  <sheetFormatPr defaultRowHeight="15" outlineLevelRow="0" outlineLevelCol="0" x14ac:dyDescent="55"/>
  <cols>
    <col min="1" max="1" width="16" customWidth="1"/>
    <col min="2" max="3" width="14" customWidth="1"/>
    <col min="4" max="5" width="16" customWidth="1"/>
    <col min="6" max="6" width="14" customWidth="1"/>
    <col min="7" max="7" width="56" customWidth="1"/>
  </cols>
  <sheetData>
    <row r="1" ht="30" customHeight="1" spans="1:7" x14ac:dyDescent="0.25">
      <c r="A1" s="2" t="s">
        <v>88</v>
      </c>
      <c r="B1" s="2"/>
      <c r="C1" s="2"/>
      <c r="D1" s="2"/>
      <c r="E1" s="2"/>
      <c r="F1" s="2"/>
      <c r="G1" s="2"/>
    </row>
    <row r="2" spans="7:7" x14ac:dyDescent="0.25">
      <c r="G2" s="2"/>
    </row>
    <row r="3" ht="30" customHeight="1" spans="1:7" x14ac:dyDescent="0.25">
      <c r="A3" s="11" t="s">
        <v>39</v>
      </c>
      <c r="B3" s="11" t="s">
        <v>89</v>
      </c>
      <c r="C3" s="11" t="s">
        <v>90</v>
      </c>
      <c r="D3" s="11" t="s">
        <v>91</v>
      </c>
      <c r="E3" s="11" t="s">
        <v>92</v>
      </c>
      <c r="F3" s="11" t="s">
        <v>93</v>
      </c>
      <c r="G3" s="11" t="s">
        <v>94</v>
      </c>
    </row>
    <row r="4" ht="30" customHeight="1" spans="1:7" x14ac:dyDescent="0.25">
      <c r="A4" s="21" t="s">
        <v>95</v>
      </c>
      <c r="B4" s="22">
        <v>0</v>
      </c>
      <c r="C4" s="22">
        <v>0</v>
      </c>
      <c r="D4" s="23">
        <f>SUMIF('Customer Ledger'!$I$4:$I$17,A4,'Customer Ledger'!$G$4:$G$17)</f>
      </c>
      <c r="E4" s="17">
        <f>SUMIF('Customer Ledger'!$I$4:$I$17,A4,'Customer Ledger'!$J$4:$J$17)</f>
      </c>
      <c r="F4" s="24">
        <f>IFERROR(D4/SUM($D$4:$D$8),0)</f>
      </c>
      <c r="G4" s="6" t="s">
        <v>96</v>
      </c>
    </row>
    <row r="5" ht="30" customHeight="1" spans="1:7" x14ac:dyDescent="0.25">
      <c r="A5" s="21" t="s">
        <v>97</v>
      </c>
      <c r="B5" s="22">
        <v>1</v>
      </c>
      <c r="C5" s="22">
        <v>30</v>
      </c>
      <c r="D5" s="23">
        <f>SUMIF('Customer Ledger'!$I$4:$I$17,A5,'Customer Ledger'!$G$4:$G$17)</f>
      </c>
      <c r="E5" s="17">
        <f>SUMIF('Customer Ledger'!$I$4:$I$17,A5,'Customer Ledger'!$J$4:$J$17)</f>
      </c>
      <c r="F5" s="24">
        <f>IFERROR(D5/SUM($D$4:$D$8),0)</f>
      </c>
      <c r="G5" s="6" t="s">
        <v>98</v>
      </c>
    </row>
    <row r="6" ht="30" customHeight="1" spans="1:7" x14ac:dyDescent="0.25">
      <c r="A6" s="21" t="s">
        <v>99</v>
      </c>
      <c r="B6" s="22">
        <v>31</v>
      </c>
      <c r="C6" s="22">
        <v>60</v>
      </c>
      <c r="D6" s="23">
        <f>SUMIF('Customer Ledger'!$I$4:$I$17,A6,'Customer Ledger'!$G$4:$G$17)</f>
      </c>
      <c r="E6" s="17">
        <f>SUMIF('Customer Ledger'!$I$4:$I$17,A6,'Customer Ledger'!$J$4:$J$17)</f>
      </c>
      <c r="F6" s="24">
        <f>IFERROR(D6/SUM($D$4:$D$8),0)</f>
      </c>
      <c r="G6" s="6" t="s">
        <v>100</v>
      </c>
    </row>
    <row r="7" ht="30" customHeight="1" spans="1:7" x14ac:dyDescent="0.25">
      <c r="A7" s="21" t="s">
        <v>101</v>
      </c>
      <c r="B7" s="22">
        <v>61</v>
      </c>
      <c r="C7" s="22">
        <v>90</v>
      </c>
      <c r="D7" s="23">
        <f>SUMIF('Customer Ledger'!$I$4:$I$17,A7,'Customer Ledger'!$G$4:$G$17)</f>
      </c>
      <c r="E7" s="17">
        <f>SUMIF('Customer Ledger'!$I$4:$I$17,A7,'Customer Ledger'!$J$4:$J$17)</f>
      </c>
      <c r="F7" s="24">
        <f>IFERROR(D7/SUM($D$4:$D$8),0)</f>
      </c>
      <c r="G7" s="6" t="s">
        <v>102</v>
      </c>
    </row>
    <row r="8" ht="30" customHeight="1" spans="1:7" x14ac:dyDescent="0.25">
      <c r="A8" s="21" t="s">
        <v>103</v>
      </c>
      <c r="B8" s="22">
        <v>91</v>
      </c>
      <c r="C8" s="22">
        <v>9999</v>
      </c>
      <c r="D8" s="23">
        <f>SUMIF('Customer Ledger'!$I$4:$I$17,A8,'Customer Ledger'!$G$4:$G$17)</f>
      </c>
      <c r="E8" s="17">
        <f>SUMIF('Customer Ledger'!$I$4:$I$17,A8,'Customer Ledger'!$J$4:$J$17)</f>
      </c>
      <c r="F8" s="24">
        <f>IFERROR(D8/SUM($D$4:$D$8),0)</f>
      </c>
      <c r="G8" s="6" t="s">
        <v>104</v>
      </c>
    </row>
    <row r="9" spans="7:7" x14ac:dyDescent="0.25">
      <c r="G9" s="2"/>
    </row>
    <row r="10" spans="1:7" x14ac:dyDescent="0.25">
      <c r="A10" s="25" t="s">
        <v>105</v>
      </c>
      <c r="D10" s="26">
        <f>SUM(D4:D8)</f>
      </c>
      <c r="E10" s="27">
        <f>SUM(E4:E8)</f>
      </c>
      <c r="G10" s="2"/>
    </row>
    <row r="11" spans="7:7" x14ac:dyDescent="0.25">
      <c r="G11" s="2"/>
    </row>
    <row r="12" ht="30" customHeight="1" spans="1:7" x14ac:dyDescent="0.25">
      <c r="A12" s="28" t="s">
        <v>29</v>
      </c>
      <c r="B12" s="28"/>
      <c r="C12" s="28"/>
      <c r="D12" s="28"/>
      <c r="E12" s="28"/>
      <c r="F12" s="28"/>
      <c r="G12" s="28"/>
    </row>
  </sheetData>
  <mergeCells count="2">
    <mergeCell ref="A1:G1"/>
    <mergeCell ref="A12:G12"/>
  </mergeCells>
  <hyperlinks>
    <hyperlink ref="A12" r:id="rId1"/>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owGridLines="0">
      <pane ySplit="4" topLeftCell="A5" activePane="bottomLeft" state="frozen"/>
      <selection pane="bottomLeft"/>
    </sheetView>
  </sheetViews>
  <sheetFormatPr defaultRowHeight="15" outlineLevelRow="0" outlineLevelCol="0" x14ac:dyDescent="55"/>
  <cols>
    <col min="2" max="2" width="28" customWidth="1"/>
    <col min="3" max="3" width="13" customWidth="1"/>
    <col min="4" max="4" width="14" customWidth="1"/>
    <col min="5" max="6" width="13" customWidth="1"/>
    <col min="7" max="7" width="11" customWidth="1"/>
    <col min="8" max="8" width="56" customWidth="1"/>
  </cols>
  <sheetData>
    <row r="1" ht="30" customHeight="1" spans="1:8" x14ac:dyDescent="0.25">
      <c r="A1" s="2" t="s">
        <v>106</v>
      </c>
      <c r="B1" s="2"/>
      <c r="C1" s="2"/>
      <c r="D1" s="2"/>
      <c r="E1" s="2"/>
      <c r="F1" s="2"/>
      <c r="G1" s="2"/>
      <c r="H1" s="2"/>
    </row>
    <row r="2" spans="2:8" x14ac:dyDescent="0.25">
      <c r="B2" s="2"/>
      <c r="H2" s="2"/>
    </row>
    <row r="3" spans="1:8" x14ac:dyDescent="0.25">
      <c r="A3" s="25" t="s">
        <v>107</v>
      </c>
      <c r="B3" s="29">
        <f>'Summary Dashboard'!$B$3</f>
      </c>
      <c r="H3" s="2"/>
    </row>
    <row r="4" ht="30" customHeight="1" spans="1:8" x14ac:dyDescent="0.25">
      <c r="A4" s="11" t="s">
        <v>108</v>
      </c>
      <c r="B4" s="11" t="s">
        <v>31</v>
      </c>
      <c r="C4" s="11" t="s">
        <v>32</v>
      </c>
      <c r="D4" s="11" t="s">
        <v>37</v>
      </c>
      <c r="E4" s="11" t="s">
        <v>38</v>
      </c>
      <c r="F4" s="11" t="s">
        <v>39</v>
      </c>
      <c r="G4" s="11" t="s">
        <v>42</v>
      </c>
      <c r="H4" s="11" t="s">
        <v>109</v>
      </c>
    </row>
    <row r="5" ht="44" customHeight="1" spans="1:8" x14ac:dyDescent="0.25">
      <c r="A5" s="27">
        <v>1</v>
      </c>
      <c r="B5" s="30">
        <f>IF(LARGE('Customer Ledger'!$K$4:$K$17,1)=0,"",INDEX('Customer Ledger'!$A$4:$A$17,MATCH(LARGE('Customer Ledger'!$K$4:$K$17,1),'Customer Ledger'!$K$4:$K$17,0)))</f>
      </c>
      <c r="C5" s="18">
        <f>IF(LARGE('Customer Ledger'!$K$4:$K$17,1)=0,"",INDEX('Customer Ledger'!$B$4:$B$17,MATCH(LARGE('Customer Ledger'!$K$4:$K$17,1),'Customer Ledger'!$K$4:$K$17,0)))</f>
      </c>
      <c r="D5" s="31">
        <f>IF(LARGE('Customer Ledger'!$K$4:$K$17,1)=0,"",INDEX('Customer Ledger'!$G$4:$G$17,MATCH(LARGE('Customer Ledger'!$K$4:$K$17,1),'Customer Ledger'!$K$4:$K$17,0)))</f>
      </c>
      <c r="E5" s="17">
        <f>IF(LARGE('Customer Ledger'!$K$4:$K$17,1)=0,"",INDEX('Customer Ledger'!$H$4:$H$17,MATCH(LARGE('Customer Ledger'!$K$4:$K$17,1),'Customer Ledger'!$K$4:$K$17,0)))</f>
      </c>
      <c r="F5" s="18">
        <f>IF(LARGE('Customer Ledger'!$K$4:$K$17,1)=0,"",INDEX('Customer Ledger'!$I$4:$I$17,MATCH(LARGE('Customer Ledger'!$K$4:$K$17,1),'Customer Ledger'!$K$4:$K$17,0)))</f>
      </c>
      <c r="G5" s="18">
        <f>IF(LARGE('Customer Ledger'!$K$4:$K$17,1)=0,"",INDEX('Customer Ledger'!$L$4:$L$17,MATCH(LARGE('Customer Ledger'!$K$4:$K$17,1),'Customer Ledger'!$K$4:$K$17,0)))</f>
      </c>
      <c r="H5" s="8">
        <f>IF(LARGE('Customer Ledger'!$K$4:$K$17,1)=0,"",INDEX('Customer Ledger'!$M$4:$M$17,MATCH(LARGE('Customer Ledger'!$K$4:$K$17,1),'Customer Ledger'!$K$4:$K$17,0)))</f>
      </c>
    </row>
    <row r="6" ht="44" customHeight="1" spans="1:8" x14ac:dyDescent="0.25">
      <c r="A6" s="27">
        <v>2</v>
      </c>
      <c r="B6" s="30">
        <f>IF(LARGE('Customer Ledger'!$K$4:$K$17,2)=0,"",INDEX('Customer Ledger'!$A$4:$A$17,MATCH(LARGE('Customer Ledger'!$K$4:$K$17,2),'Customer Ledger'!$K$4:$K$17,0)))</f>
      </c>
      <c r="C6" s="18">
        <f>IF(LARGE('Customer Ledger'!$K$4:$K$17,2)=0,"",INDEX('Customer Ledger'!$B$4:$B$17,MATCH(LARGE('Customer Ledger'!$K$4:$K$17,2),'Customer Ledger'!$K$4:$K$17,0)))</f>
      </c>
      <c r="D6" s="31">
        <f>IF(LARGE('Customer Ledger'!$K$4:$K$17,2)=0,"",INDEX('Customer Ledger'!$G$4:$G$17,MATCH(LARGE('Customer Ledger'!$K$4:$K$17,2),'Customer Ledger'!$K$4:$K$17,0)))</f>
      </c>
      <c r="E6" s="17">
        <f>IF(LARGE('Customer Ledger'!$K$4:$K$17,2)=0,"",INDEX('Customer Ledger'!$H$4:$H$17,MATCH(LARGE('Customer Ledger'!$K$4:$K$17,2),'Customer Ledger'!$K$4:$K$17,0)))</f>
      </c>
      <c r="F6" s="18">
        <f>IF(LARGE('Customer Ledger'!$K$4:$K$17,2)=0,"",INDEX('Customer Ledger'!$I$4:$I$17,MATCH(LARGE('Customer Ledger'!$K$4:$K$17,2),'Customer Ledger'!$K$4:$K$17,0)))</f>
      </c>
      <c r="G6" s="18">
        <f>IF(LARGE('Customer Ledger'!$K$4:$K$17,2)=0,"",INDEX('Customer Ledger'!$L$4:$L$17,MATCH(LARGE('Customer Ledger'!$K$4:$K$17,2),'Customer Ledger'!$K$4:$K$17,0)))</f>
      </c>
      <c r="H6" s="8">
        <f>IF(LARGE('Customer Ledger'!$K$4:$K$17,2)=0,"",INDEX('Customer Ledger'!$M$4:$M$17,MATCH(LARGE('Customer Ledger'!$K$4:$K$17,2),'Customer Ledger'!$K$4:$K$17,0)))</f>
      </c>
    </row>
    <row r="7" ht="44" customHeight="1" spans="1:8" x14ac:dyDescent="0.25">
      <c r="A7" s="27">
        <v>3</v>
      </c>
      <c r="B7" s="30">
        <f>IF(LARGE('Customer Ledger'!$K$4:$K$17,3)=0,"",INDEX('Customer Ledger'!$A$4:$A$17,MATCH(LARGE('Customer Ledger'!$K$4:$K$17,3),'Customer Ledger'!$K$4:$K$17,0)))</f>
      </c>
      <c r="C7" s="18">
        <f>IF(LARGE('Customer Ledger'!$K$4:$K$17,3)=0,"",INDEX('Customer Ledger'!$B$4:$B$17,MATCH(LARGE('Customer Ledger'!$K$4:$K$17,3),'Customer Ledger'!$K$4:$K$17,0)))</f>
      </c>
      <c r="D7" s="31">
        <f>IF(LARGE('Customer Ledger'!$K$4:$K$17,3)=0,"",INDEX('Customer Ledger'!$G$4:$G$17,MATCH(LARGE('Customer Ledger'!$K$4:$K$17,3),'Customer Ledger'!$K$4:$K$17,0)))</f>
      </c>
      <c r="E7" s="17">
        <f>IF(LARGE('Customer Ledger'!$K$4:$K$17,3)=0,"",INDEX('Customer Ledger'!$H$4:$H$17,MATCH(LARGE('Customer Ledger'!$K$4:$K$17,3),'Customer Ledger'!$K$4:$K$17,0)))</f>
      </c>
      <c r="F7" s="18">
        <f>IF(LARGE('Customer Ledger'!$K$4:$K$17,3)=0,"",INDEX('Customer Ledger'!$I$4:$I$17,MATCH(LARGE('Customer Ledger'!$K$4:$K$17,3),'Customer Ledger'!$K$4:$K$17,0)))</f>
      </c>
      <c r="G7" s="18">
        <f>IF(LARGE('Customer Ledger'!$K$4:$K$17,3)=0,"",INDEX('Customer Ledger'!$L$4:$L$17,MATCH(LARGE('Customer Ledger'!$K$4:$K$17,3),'Customer Ledger'!$K$4:$K$17,0)))</f>
      </c>
      <c r="H7" s="8">
        <f>IF(LARGE('Customer Ledger'!$K$4:$K$17,3)=0,"",INDEX('Customer Ledger'!$M$4:$M$17,MATCH(LARGE('Customer Ledger'!$K$4:$K$17,3),'Customer Ledger'!$K$4:$K$17,0)))</f>
      </c>
    </row>
    <row r="8" ht="44" customHeight="1" spans="1:8" x14ac:dyDescent="0.25">
      <c r="A8" s="27">
        <v>4</v>
      </c>
      <c r="B8" s="30">
        <f>IF(LARGE('Customer Ledger'!$K$4:$K$17,4)=0,"",INDEX('Customer Ledger'!$A$4:$A$17,MATCH(LARGE('Customer Ledger'!$K$4:$K$17,4),'Customer Ledger'!$K$4:$K$17,0)))</f>
      </c>
      <c r="C8" s="18">
        <f>IF(LARGE('Customer Ledger'!$K$4:$K$17,4)=0,"",INDEX('Customer Ledger'!$B$4:$B$17,MATCH(LARGE('Customer Ledger'!$K$4:$K$17,4),'Customer Ledger'!$K$4:$K$17,0)))</f>
      </c>
      <c r="D8" s="31">
        <f>IF(LARGE('Customer Ledger'!$K$4:$K$17,4)=0,"",INDEX('Customer Ledger'!$G$4:$G$17,MATCH(LARGE('Customer Ledger'!$K$4:$K$17,4),'Customer Ledger'!$K$4:$K$17,0)))</f>
      </c>
      <c r="E8" s="17">
        <f>IF(LARGE('Customer Ledger'!$K$4:$K$17,4)=0,"",INDEX('Customer Ledger'!$H$4:$H$17,MATCH(LARGE('Customer Ledger'!$K$4:$K$17,4),'Customer Ledger'!$K$4:$K$17,0)))</f>
      </c>
      <c r="F8" s="18">
        <f>IF(LARGE('Customer Ledger'!$K$4:$K$17,4)=0,"",INDEX('Customer Ledger'!$I$4:$I$17,MATCH(LARGE('Customer Ledger'!$K$4:$K$17,4),'Customer Ledger'!$K$4:$K$17,0)))</f>
      </c>
      <c r="G8" s="18">
        <f>IF(LARGE('Customer Ledger'!$K$4:$K$17,4)=0,"",INDEX('Customer Ledger'!$L$4:$L$17,MATCH(LARGE('Customer Ledger'!$K$4:$K$17,4),'Customer Ledger'!$K$4:$K$17,0)))</f>
      </c>
      <c r="H8" s="8">
        <f>IF(LARGE('Customer Ledger'!$K$4:$K$17,4)=0,"",INDEX('Customer Ledger'!$M$4:$M$17,MATCH(LARGE('Customer Ledger'!$K$4:$K$17,4),'Customer Ledger'!$K$4:$K$17,0)))</f>
      </c>
    </row>
    <row r="9" ht="44" customHeight="1" spans="1:8" x14ac:dyDescent="0.25">
      <c r="A9" s="27">
        <v>5</v>
      </c>
      <c r="B9" s="30">
        <f>IF(LARGE('Customer Ledger'!$K$4:$K$17,5)=0,"",INDEX('Customer Ledger'!$A$4:$A$17,MATCH(LARGE('Customer Ledger'!$K$4:$K$17,5),'Customer Ledger'!$K$4:$K$17,0)))</f>
      </c>
      <c r="C9" s="18">
        <f>IF(LARGE('Customer Ledger'!$K$4:$K$17,5)=0,"",INDEX('Customer Ledger'!$B$4:$B$17,MATCH(LARGE('Customer Ledger'!$K$4:$K$17,5),'Customer Ledger'!$K$4:$K$17,0)))</f>
      </c>
      <c r="D9" s="31">
        <f>IF(LARGE('Customer Ledger'!$K$4:$K$17,5)=0,"",INDEX('Customer Ledger'!$G$4:$G$17,MATCH(LARGE('Customer Ledger'!$K$4:$K$17,5),'Customer Ledger'!$K$4:$K$17,0)))</f>
      </c>
      <c r="E9" s="17">
        <f>IF(LARGE('Customer Ledger'!$K$4:$K$17,5)=0,"",INDEX('Customer Ledger'!$H$4:$H$17,MATCH(LARGE('Customer Ledger'!$K$4:$K$17,5),'Customer Ledger'!$K$4:$K$17,0)))</f>
      </c>
      <c r="F9" s="18">
        <f>IF(LARGE('Customer Ledger'!$K$4:$K$17,5)=0,"",INDEX('Customer Ledger'!$I$4:$I$17,MATCH(LARGE('Customer Ledger'!$K$4:$K$17,5),'Customer Ledger'!$K$4:$K$17,0)))</f>
      </c>
      <c r="G9" s="18">
        <f>IF(LARGE('Customer Ledger'!$K$4:$K$17,5)=0,"",INDEX('Customer Ledger'!$L$4:$L$17,MATCH(LARGE('Customer Ledger'!$K$4:$K$17,5),'Customer Ledger'!$K$4:$K$17,0)))</f>
      </c>
      <c r="H9" s="8">
        <f>IF(LARGE('Customer Ledger'!$K$4:$K$17,5)=0,"",INDEX('Customer Ledger'!$M$4:$M$17,MATCH(LARGE('Customer Ledger'!$K$4:$K$17,5),'Customer Ledger'!$K$4:$K$17,0)))</f>
      </c>
    </row>
    <row r="10" ht="44" customHeight="1" spans="1:8" x14ac:dyDescent="0.25">
      <c r="A10" s="27">
        <v>6</v>
      </c>
      <c r="B10" s="30">
        <f>IF(LARGE('Customer Ledger'!$K$4:$K$17,6)=0,"",INDEX('Customer Ledger'!$A$4:$A$17,MATCH(LARGE('Customer Ledger'!$K$4:$K$17,6),'Customer Ledger'!$K$4:$K$17,0)))</f>
      </c>
      <c r="C10" s="18">
        <f>IF(LARGE('Customer Ledger'!$K$4:$K$17,6)=0,"",INDEX('Customer Ledger'!$B$4:$B$17,MATCH(LARGE('Customer Ledger'!$K$4:$K$17,6),'Customer Ledger'!$K$4:$K$17,0)))</f>
      </c>
      <c r="D10" s="31">
        <f>IF(LARGE('Customer Ledger'!$K$4:$K$17,6)=0,"",INDEX('Customer Ledger'!$G$4:$G$17,MATCH(LARGE('Customer Ledger'!$K$4:$K$17,6),'Customer Ledger'!$K$4:$K$17,0)))</f>
      </c>
      <c r="E10" s="17">
        <f>IF(LARGE('Customer Ledger'!$K$4:$K$17,6)=0,"",INDEX('Customer Ledger'!$H$4:$H$17,MATCH(LARGE('Customer Ledger'!$K$4:$K$17,6),'Customer Ledger'!$K$4:$K$17,0)))</f>
      </c>
      <c r="F10" s="18">
        <f>IF(LARGE('Customer Ledger'!$K$4:$K$17,6)=0,"",INDEX('Customer Ledger'!$I$4:$I$17,MATCH(LARGE('Customer Ledger'!$K$4:$K$17,6),'Customer Ledger'!$K$4:$K$17,0)))</f>
      </c>
      <c r="G10" s="18">
        <f>IF(LARGE('Customer Ledger'!$K$4:$K$17,6)=0,"",INDEX('Customer Ledger'!$L$4:$L$17,MATCH(LARGE('Customer Ledger'!$K$4:$K$17,6),'Customer Ledger'!$K$4:$K$17,0)))</f>
      </c>
      <c r="H10" s="8">
        <f>IF(LARGE('Customer Ledger'!$K$4:$K$17,6)=0,"",INDEX('Customer Ledger'!$M$4:$M$17,MATCH(LARGE('Customer Ledger'!$K$4:$K$17,6),'Customer Ledger'!$K$4:$K$17,0)))</f>
      </c>
    </row>
    <row r="11" spans="2:8" x14ac:dyDescent="0.25">
      <c r="B11" s="2"/>
      <c r="H11" s="2"/>
    </row>
    <row r="12" spans="2:8" x14ac:dyDescent="0.25">
      <c r="B12" s="2"/>
      <c r="H12" s="2"/>
    </row>
    <row r="13" ht="30" customHeight="1" spans="1:8" x14ac:dyDescent="0.25">
      <c r="A13" s="28" t="s">
        <v>29</v>
      </c>
      <c r="B13" s="28"/>
      <c r="C13" s="28"/>
      <c r="D13" s="28"/>
      <c r="E13" s="28"/>
      <c r="F13" s="28"/>
      <c r="G13" s="28"/>
      <c r="H13" s="28"/>
    </row>
  </sheetData>
  <mergeCells count="2">
    <mergeCell ref="A1:H1"/>
    <mergeCell ref="A13:H13"/>
  </mergeCells>
  <hyperlinks>
    <hyperlink ref="A13" r:id="rId1"/>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owGridLines="0"/>
  </sheetViews>
  <sheetFormatPr defaultRowHeight="15" outlineLevelRow="0" outlineLevelCol="0" x14ac:dyDescent="55"/>
  <cols>
    <col min="1" max="1" width="28" customWidth="1"/>
    <col min="2" max="2" width="16" customWidth="1"/>
    <col min="3" max="4" width="18" customWidth="1"/>
    <col min="5" max="5" width="16" customWidth="1"/>
    <col min="6" max="6" width="30" customWidth="1"/>
  </cols>
  <sheetData>
    <row r="1" spans="1:6" x14ac:dyDescent="0.25">
      <c r="A1" s="1" t="s">
        <v>110</v>
      </c>
      <c r="B1" s="1"/>
      <c r="C1" s="1"/>
      <c r="D1" s="1"/>
      <c r="E1" s="1"/>
      <c r="F1" s="1"/>
    </row>
    <row r="2" spans="1:6" x14ac:dyDescent="0.25">
      <c r="A2" s="2"/>
      <c r="C2" s="2"/>
      <c r="F2" s="2"/>
    </row>
    <row r="3" spans="1:6" x14ac:dyDescent="0.25">
      <c r="A3" s="5" t="s">
        <v>107</v>
      </c>
      <c r="B3" s="32">
        <v>46234</v>
      </c>
      <c r="C3" s="2"/>
      <c r="F3" s="2"/>
    </row>
    <row r="4" spans="1:6" x14ac:dyDescent="0.25">
      <c r="A4" s="2"/>
      <c r="C4" s="2"/>
      <c r="F4" s="2"/>
    </row>
    <row r="5" ht="30" customHeight="1" spans="1:6" x14ac:dyDescent="0.25">
      <c r="A5" s="11" t="s">
        <v>111</v>
      </c>
      <c r="B5" s="11" t="s">
        <v>112</v>
      </c>
      <c r="C5" s="11" t="s">
        <v>113</v>
      </c>
      <c r="F5" s="2"/>
    </row>
    <row r="6" spans="1:6" x14ac:dyDescent="0.25">
      <c r="A6" s="5" t="s">
        <v>105</v>
      </c>
      <c r="B6" s="33">
        <f>SUM('Customer Ledger'!$G$4:$G$17)</f>
      </c>
      <c r="C6" s="7" t="s">
        <v>114</v>
      </c>
      <c r="D6" s="7"/>
      <c r="E6" s="7"/>
      <c r="F6" s="7"/>
    </row>
    <row r="7" spans="1:6" x14ac:dyDescent="0.25">
      <c r="A7" s="5" t="s">
        <v>115</v>
      </c>
      <c r="B7" s="33">
        <f>SUMIF('Customer Ledger'!$H$4:$H$17,"&gt;0",'Customer Ledger'!$G$4:$G$17)</f>
      </c>
      <c r="C7" s="7" t="s">
        <v>116</v>
      </c>
      <c r="D7" s="7"/>
      <c r="E7" s="7"/>
      <c r="F7" s="7"/>
    </row>
    <row r="8" spans="1:6" x14ac:dyDescent="0.25">
      <c r="A8" s="5" t="s">
        <v>117</v>
      </c>
      <c r="B8" s="34">
        <f>IFERROR(B7/B6,0)</f>
      </c>
      <c r="C8" s="7" t="s">
        <v>118</v>
      </c>
      <c r="D8" s="7"/>
      <c r="E8" s="7"/>
      <c r="F8" s="7"/>
    </row>
    <row r="9" spans="1:6" x14ac:dyDescent="0.25">
      <c r="A9" s="5" t="s">
        <v>119</v>
      </c>
      <c r="B9" s="33">
        <f>SUMIF('Customer Ledger'!$H$4:$H$17,"&gt;60",'Customer Ledger'!$G$4:$G$17)</f>
      </c>
      <c r="C9" s="7" t="s">
        <v>120</v>
      </c>
      <c r="D9" s="7"/>
      <c r="E9" s="7"/>
      <c r="F9" s="7"/>
    </row>
    <row r="10" spans="1:6" x14ac:dyDescent="0.25">
      <c r="A10" s="5" t="s">
        <v>121</v>
      </c>
      <c r="B10" s="33">
        <f>SUMIF('Customer Ledger'!$I$4:$I$17,"90+",'Customer Ledger'!$G$4:$G$17)</f>
      </c>
      <c r="C10" s="7" t="s">
        <v>122</v>
      </c>
      <c r="D10" s="7"/>
      <c r="E10" s="7"/>
      <c r="F10" s="7"/>
    </row>
    <row r="11" spans="1:6" x14ac:dyDescent="0.25">
      <c r="A11" s="5" t="s">
        <v>92</v>
      </c>
      <c r="B11" s="27">
        <f>SUM('Customer Ledger'!$J$4:$J$17)</f>
      </c>
      <c r="C11" s="7" t="s">
        <v>123</v>
      </c>
      <c r="D11" s="7"/>
      <c r="E11" s="7"/>
      <c r="F11" s="7"/>
    </row>
    <row r="12" spans="1:6" x14ac:dyDescent="0.25">
      <c r="A12" s="5" t="s">
        <v>124</v>
      </c>
      <c r="B12" s="27">
        <f>ROUND(LARGE('Customer Ledger'!$K$4:$K$17,1)/100000,0)</f>
      </c>
      <c r="C12" s="7" t="s">
        <v>125</v>
      </c>
      <c r="D12" s="7"/>
      <c r="E12" s="7"/>
      <c r="F12" s="7"/>
    </row>
    <row r="13" spans="1:6" x14ac:dyDescent="0.25">
      <c r="A13" s="2"/>
      <c r="C13" s="2"/>
      <c r="F13" s="2"/>
    </row>
    <row r="14" spans="1:6" x14ac:dyDescent="0.25">
      <c r="A14" s="3" t="s">
        <v>126</v>
      </c>
      <c r="B14" s="3"/>
      <c r="C14" s="3"/>
      <c r="D14" s="3"/>
      <c r="E14" s="3"/>
      <c r="F14" s="3"/>
    </row>
    <row r="15" ht="30" customHeight="1" spans="1:6" x14ac:dyDescent="0.25">
      <c r="A15" s="11" t="s">
        <v>127</v>
      </c>
      <c r="B15" s="11" t="s">
        <v>91</v>
      </c>
      <c r="C15" s="11" t="s">
        <v>93</v>
      </c>
      <c r="D15" s="11" t="s">
        <v>92</v>
      </c>
      <c r="F15" s="2"/>
    </row>
    <row r="16" spans="1:6" x14ac:dyDescent="0.25">
      <c r="A16" s="5" t="s">
        <v>95</v>
      </c>
      <c r="B16" s="23">
        <f>INDEX('Aging Buckets'!$D$4:$D$8,MATCH(A16,'Aging Buckets'!$A$4:$A$8,0))</f>
      </c>
      <c r="C16" s="35">
        <f>INDEX('Aging Buckets'!$F$4:$F$8,MATCH(A16,'Aging Buckets'!$A$4:$A$8,0))</f>
      </c>
      <c r="D16" s="17">
        <f>INDEX('Aging Buckets'!$E$4:$E$8,MATCH(A16,'Aging Buckets'!$A$4:$A$8,0))</f>
      </c>
      <c r="F16" s="2"/>
    </row>
    <row r="17" spans="1:6" x14ac:dyDescent="0.25">
      <c r="A17" s="5" t="s">
        <v>97</v>
      </c>
      <c r="B17" s="23">
        <f>INDEX('Aging Buckets'!$D$4:$D$8,MATCH(A17,'Aging Buckets'!$A$4:$A$8,0))</f>
      </c>
      <c r="C17" s="35">
        <f>INDEX('Aging Buckets'!$F$4:$F$8,MATCH(A17,'Aging Buckets'!$A$4:$A$8,0))</f>
      </c>
      <c r="D17" s="17">
        <f>INDEX('Aging Buckets'!$E$4:$E$8,MATCH(A17,'Aging Buckets'!$A$4:$A$8,0))</f>
      </c>
      <c r="F17" s="2"/>
    </row>
    <row r="18" spans="1:6" x14ac:dyDescent="0.25">
      <c r="A18" s="5" t="s">
        <v>99</v>
      </c>
      <c r="B18" s="23">
        <f>INDEX('Aging Buckets'!$D$4:$D$8,MATCH(A18,'Aging Buckets'!$A$4:$A$8,0))</f>
      </c>
      <c r="C18" s="35">
        <f>INDEX('Aging Buckets'!$F$4:$F$8,MATCH(A18,'Aging Buckets'!$A$4:$A$8,0))</f>
      </c>
      <c r="D18" s="17">
        <f>INDEX('Aging Buckets'!$E$4:$E$8,MATCH(A18,'Aging Buckets'!$A$4:$A$8,0))</f>
      </c>
      <c r="F18" s="2"/>
    </row>
    <row r="19" spans="1:6" x14ac:dyDescent="0.25">
      <c r="A19" s="5" t="s">
        <v>101</v>
      </c>
      <c r="B19" s="23">
        <f>INDEX('Aging Buckets'!$D$4:$D$8,MATCH(A19,'Aging Buckets'!$A$4:$A$8,0))</f>
      </c>
      <c r="C19" s="35">
        <f>INDEX('Aging Buckets'!$F$4:$F$8,MATCH(A19,'Aging Buckets'!$A$4:$A$8,0))</f>
      </c>
      <c r="D19" s="17">
        <f>INDEX('Aging Buckets'!$E$4:$E$8,MATCH(A19,'Aging Buckets'!$A$4:$A$8,0))</f>
      </c>
      <c r="F19" s="2"/>
    </row>
    <row r="20" spans="1:6" x14ac:dyDescent="0.25">
      <c r="A20" s="5" t="s">
        <v>103</v>
      </c>
      <c r="B20" s="23">
        <f>INDEX('Aging Buckets'!$D$4:$D$8,MATCH(A20,'Aging Buckets'!$A$4:$A$8,0))</f>
      </c>
      <c r="C20" s="35">
        <f>INDEX('Aging Buckets'!$F$4:$F$8,MATCH(A20,'Aging Buckets'!$A$4:$A$8,0))</f>
      </c>
      <c r="D20" s="17">
        <f>INDEX('Aging Buckets'!$E$4:$E$8,MATCH(A20,'Aging Buckets'!$A$4:$A$8,0))</f>
      </c>
      <c r="F20" s="2"/>
    </row>
    <row r="21" spans="1:6" x14ac:dyDescent="0.25">
      <c r="A21" s="2"/>
      <c r="C21" s="2"/>
      <c r="F21" s="2"/>
    </row>
    <row r="22" spans="1:6" x14ac:dyDescent="0.25">
      <c r="A22" s="2"/>
      <c r="C22" s="2"/>
      <c r="F22" s="2"/>
    </row>
    <row r="23" spans="1:6" x14ac:dyDescent="0.25">
      <c r="A23" s="3" t="s">
        <v>128</v>
      </c>
      <c r="B23" s="3"/>
      <c r="C23" s="3"/>
      <c r="D23" s="3"/>
      <c r="E23" s="3"/>
      <c r="F23" s="3"/>
    </row>
    <row r="24" ht="30" customHeight="1" spans="1:6" x14ac:dyDescent="0.25">
      <c r="A24" s="11" t="s">
        <v>31</v>
      </c>
      <c r="B24" s="11" t="s">
        <v>32</v>
      </c>
      <c r="C24" s="11" t="s">
        <v>37</v>
      </c>
      <c r="D24" s="11" t="s">
        <v>38</v>
      </c>
      <c r="E24" s="11" t="s">
        <v>42</v>
      </c>
      <c r="F24" s="2"/>
    </row>
    <row r="25" spans="1:6" x14ac:dyDescent="0.25">
      <c r="A25" s="36">
        <f>'Collections Queue'!B5</f>
      </c>
      <c r="B25" s="37">
        <f>'Collections Queue'!C5</f>
      </c>
      <c r="C25" s="38">
        <f>'Collections Queue'!D5</f>
      </c>
      <c r="D25" s="27">
        <f>'Collections Queue'!E5</f>
      </c>
      <c r="E25" s="37">
        <f>'Collections Queue'!G5</f>
      </c>
      <c r="F25" s="2"/>
    </row>
    <row r="26" spans="1:6" x14ac:dyDescent="0.25">
      <c r="A26" s="2"/>
      <c r="C26" s="2"/>
      <c r="F26" s="2"/>
    </row>
    <row r="27" spans="1:6" x14ac:dyDescent="0.25">
      <c r="A27" s="2"/>
      <c r="C27" s="2"/>
      <c r="F27" s="2"/>
    </row>
    <row r="28" ht="30" customHeight="1" spans="1:6" x14ac:dyDescent="0.25">
      <c r="A28" s="28" t="s">
        <v>29</v>
      </c>
      <c r="B28" s="28"/>
      <c r="C28" s="28"/>
      <c r="D28" s="28"/>
      <c r="E28" s="28"/>
      <c r="F28" s="28"/>
    </row>
  </sheetData>
  <mergeCells count="11">
    <mergeCell ref="A1:F1"/>
    <mergeCell ref="C6:F6"/>
    <mergeCell ref="C7:F7"/>
    <mergeCell ref="C8:F8"/>
    <mergeCell ref="C9:F9"/>
    <mergeCell ref="C10:F10"/>
    <mergeCell ref="C11:F11"/>
    <mergeCell ref="C12:F12"/>
    <mergeCell ref="A14:F14"/>
    <mergeCell ref="A23:F23"/>
    <mergeCell ref="A28:F28"/>
  </mergeCells>
  <hyperlinks>
    <hyperlink ref="A28"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Customer Ledger</vt:lpstr>
      <vt:lpstr>Aging Buckets</vt:lpstr>
      <vt:lpstr>Collections Queue</vt:lpstr>
      <vt:lpstr>Summary 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2026-07-29T03:05:36Z</dcterms:created>
  <dcterms:modified xsi:type="dcterms:W3CDTF">2026-07-29T03:05:36Z</dcterms:modified>
</cp:coreProperties>
</file>