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ank Statement" state="visible" r:id="rId5"/>
    <sheet sheetId="3" name="Cash Book" state="visible" r:id="rId6"/>
    <sheet sheetId="4" name="Reconciliation" state="visible" r:id="rId7"/>
    <sheet sheetId="5" name="Dashboard" state="visible" r:id="rId8"/>
  </sheets>
  <calcPr calcId="171027"/>
</workbook>
</file>

<file path=xl/sharedStrings.xml><?xml version="1.0" encoding="utf-8"?>
<sst xmlns="http://schemas.openxmlformats.org/spreadsheetml/2006/main" count="209" uniqueCount="149">
  <si>
    <t>Bank Reconciliation Template</t>
  </si>
  <si>
    <t>Purpose</t>
  </si>
  <si>
    <t>This workbook proves that the cash balance in your books matches the balance on your bank statement. Enter the bank statement lines and your cash book entries, mark which cash book items have cleared the bank, and the Reconciliation sheet computes the adjusted bank balance, the adjusted book balance, the difference, and a Reconciled / Not reconciled status. Replace the synthetic September sample data with your own month; every total recalculates.</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</si>
  <si>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</si>
  <si>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data shown is synthetic and for illustration only.</t>
  </si>
  <si>
    <t>What’s in this workbook</t>
  </si>
  <si>
    <t>Bank Statement</t>
  </si>
  <si>
    <t>The bank side. Statement dates and balances at the top, then every line from the statement: date, reference, description, type, signed amount, and whether your cash book already has it.</t>
  </si>
  <si>
    <t>Cash Book</t>
  </si>
  <si>
    <t>Your side. The opening book balance and every cash entry for the month, with a Cleared at bank? flag and a Carried from last month? flag. Calculated columns label each uncleared item as a deposit in transit or an outstanding check and show how many days it has been open.</t>
  </si>
  <si>
    <t>Reconciliation</t>
  </si>
  <si>
    <t>The proof. Bank side (statement balance + deposits in transit - outstanding checks +/- bank errors) against book side (cash book balance + bank credits - bank charges +/- book errors), the difference, the status, and the item lists behind each adjustment.</t>
  </si>
  <si>
    <t>Dashboard</t>
  </si>
  <si>
    <t>The one-page summary: status, the four balances, counts of open items, an aging table for uncleared items, and the checks that tell you something needs a second look.</t>
  </si>
  <si>
    <t>How to use this workbook</t>
  </si>
  <si>
    <t>1. On Bank Statement, enter the statement end date, the opening balance, and the ending balance exactly as printed on the statement. Then list every statement line with a positive amount for money in and a negative amount for money out.</t>
  </si>
  <si>
    <t>2. Mark each statement line In Cash Book? Yes if your books already record it, or No if it is new to you (a bank fee, interest, a direct deposit you have not booked yet).</t>
  </si>
  <si>
    <t>3. On Cash Book, enter the opening book balance, then every cash receipt and payment for the period with a signed amount. Use the same reference (check number or deposit ID) that appears on the bank statement. For a second or later month, the opening book balance is last month's adjusted book balance.</t>
  </si>
  <si>
    <t>4. Mark each cash book entry Cleared at bank? Yes if it appears on the statement or No if it does not. The Match Check column warns when the flag and the statement disagree. Mark Carried from last month? Yes on any entry you are bringing forward from the prior reconciliation (an item that was still uncleared then); it stays in the bank-side adjustments but is not added to the book balance a second time, because last month's adjusted balance already includes it.</t>
  </si>
  <si>
    <t>5. Open Reconciliation. Type any bank error or book error you found into the two blue cells, then read the difference. Zero means Reconciled.</t>
  </si>
  <si>
    <t>6. If the status says Not reconciled, work down the Match Check columns and the item lists on Reconciliation until the difference reaches zero, then record the listed bank items in your books.</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</si>
  <si>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</si>
  <si>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</si>
  <si>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</si>
  <si>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</si>
  <si>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</si>
  <si>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</si>
  <si>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SUMIFS, COUNTIF, COUNTIFS, IF, IFERROR, AND, OR, ISNUMBER, TEXT, INDEX, MATCH, ROUND, and arithmetic. Dropdown validation and status colors carry over during import.</t>
  </si>
  <si>
    <t>Limitations</t>
  </si>
  <si>
    <t>This template is a monthly reconciliation worksheet, not accounting software. It does not post journal entries, import bank feeds, or match transactions automatically; the Match Check column only compares references. Totals read down to row 205 on Bank Statement and Cash Book. The yellow helper columns are filled in the sample rows and the 10 empty rows below them; they show a dash until you type in a row, and you can clear any input row and leave its yellow cells alone. Past those rows, copy the last yellow cells down. The uncleared-item list on Reconciliation shows the first 10 items and the bank-item list the first 6; a warning appears when there are more. To carry an uncleared item into the next month, copy it to the new Cash Book with Cleared at bank? set to No and Carried from last month? set to Yes, and start the new month with last month's adjusted book balance as the opening book balance.</t>
  </si>
  <si>
    <t>★ Free template from Excel.TV — get more free Excel &amp; Google Sheets templates →</t>
  </si>
  <si>
    <t>Enter the figures printed on your bank statement. Blue cells are yours to edit; yellow cells calculate. Use a positive amount for money in and a negative amount for money out.</t>
  </si>
  <si>
    <t>Statement end date</t>
  </si>
  <si>
    <t>Opening balance per statement</t>
  </si>
  <si>
    <t>Ending balance per statement</t>
  </si>
  <si>
    <t>Transactions total (money in less money out)</t>
  </si>
  <si>
    <t>Statement check (opening + transactions = ending)</t>
  </si>
  <si>
    <t>Date</t>
  </si>
  <si>
    <t>Reference</t>
  </si>
  <si>
    <t>Description</t>
  </si>
  <si>
    <t>Type</t>
  </si>
  <si>
    <t>Amount (+ in / - out)</t>
  </si>
  <si>
    <t>In Cash Book? (Yes/No)</t>
  </si>
  <si>
    <t>Book Match Check</t>
  </si>
  <si>
    <t>To-Record Rank</t>
  </si>
  <si>
    <t>DEP-101</t>
  </si>
  <si>
    <t>Deposit - customer receipts</t>
  </si>
  <si>
    <t>Deposit</t>
  </si>
  <si>
    <t>Yes</t>
  </si>
  <si>
    <t>CHK-1041</t>
  </si>
  <si>
    <t>Check 1041 - office rent</t>
  </si>
  <si>
    <t>Check</t>
  </si>
  <si>
    <t>CHK-1042</t>
  </si>
  <si>
    <t>Check 1042 - Northwind Supply</t>
  </si>
  <si>
    <t>DEP-102</t>
  </si>
  <si>
    <t>CHK-1044</t>
  </si>
  <si>
    <t>Check 1044 - business insurance</t>
  </si>
  <si>
    <t>EFT-2201</t>
  </si>
  <si>
    <t>Electronic payment - software subscription</t>
  </si>
  <si>
    <t>Transfer</t>
  </si>
  <si>
    <t>FEE-0930</t>
  </si>
  <si>
    <t>Monthly account service fee</t>
  </si>
  <si>
    <t>Fee</t>
  </si>
  <si>
    <t>No</t>
  </si>
  <si>
    <t>Enter your own record of cash here. Use a positive amount for receipts and a negative amount for payments, and mark each entry Yes once it appears on the bank statement. Yellow columns calculate.</t>
  </si>
  <si>
    <t>Opening book balance</t>
  </si>
  <si>
    <t>Book balance (opening + entries not carried from last month)</t>
  </si>
  <si>
    <t>Amount (+ receipt / - payment)</t>
  </si>
  <si>
    <t>Cleared at bank? (Yes/No)</t>
  </si>
  <si>
    <t>Carried from last month? (Yes/No)</t>
  </si>
  <si>
    <t>Item Status</t>
  </si>
  <si>
    <t>Days Outstanding</t>
  </si>
  <si>
    <t>Match Check</t>
  </si>
  <si>
    <t>Uncleared Rank</t>
  </si>
  <si>
    <t>Customer receipts</t>
  </si>
  <si>
    <t>Office rent</t>
  </si>
  <si>
    <t>Northwind Supply invoice</t>
  </si>
  <si>
    <t>CHK-1043</t>
  </si>
  <si>
    <t>Packaging supplier</t>
  </si>
  <si>
    <t>Business insurance</t>
  </si>
  <si>
    <t>Software subscription</t>
  </si>
  <si>
    <t>CHK-1045</t>
  </si>
  <si>
    <t>Marketing contractor</t>
  </si>
  <si>
    <t>DEP-103</t>
  </si>
  <si>
    <t>Customer receipts (deposited 9/30)</t>
  </si>
  <si>
    <t>Bank Reconciliation</t>
  </si>
  <si>
    <t>As of statement date:</t>
  </si>
  <si>
    <t>Bank side</t>
  </si>
  <si>
    <t>Balance per bank statement</t>
  </si>
  <si>
    <t>The ending balance you typed from the statement.</t>
  </si>
  <si>
    <t>Add: deposits in transit</t>
  </si>
  <si>
    <t>Cash book receipts not yet on the statement (Cleared at bank? = No).</t>
  </si>
  <si>
    <t>Less: outstanding checks</t>
  </si>
  <si>
    <t>Cash book payments not yet on the statement (Cleared at bank? = No).</t>
  </si>
  <si>
    <t>Add / (less): bank errors</t>
  </si>
  <si>
    <t>Type a bank mistake here: positive if the bank understated your balance, negative if it overstated it.</t>
  </si>
  <si>
    <t>Adjusted bank balance</t>
  </si>
  <si>
    <t>Statement balance + deposits in transit - outstanding checks +/- bank errors.</t>
  </si>
  <si>
    <t>Book side</t>
  </si>
  <si>
    <t>Balance per cash book</t>
  </si>
  <si>
    <t>Opening book balance plus every cash book entry that was not carried from last month.</t>
  </si>
  <si>
    <t>Add: bank credits not yet in the cash book</t>
  </si>
  <si>
    <t>Interest and direct deposits on the statement that your books do not have yet.</t>
  </si>
  <si>
    <t>Less: bank charges not yet in the cash book</t>
  </si>
  <si>
    <t>Fees, NSF items, and other bank debits your books do not have yet.</t>
  </si>
  <si>
    <t>Add / (less): book errors</t>
  </si>
  <si>
    <t>Type a mistake in your own books here: positive if you understated cash, negative if you overstated it.</t>
  </si>
  <si>
    <t>Adjusted book balance</t>
  </si>
  <si>
    <t>Cash book balance + bank credits - bank charges +/- book errors.</t>
  </si>
  <si>
    <t>Result</t>
  </si>
  <si>
    <t>Difference</t>
  </si>
  <si>
    <t>Adjusted bank balance less adjusted book balance. It must be zero.</t>
  </si>
  <si>
    <t>Status</t>
  </si>
  <si>
    <t>Reconciled when the two adjusted balances agree to the cent.</t>
  </si>
  <si>
    <t>Uncleared cash book items (deposits in transit and outstanding checks)</t>
  </si>
  <si>
    <t>Amount</t>
  </si>
  <si>
    <t>Bank items to record in your books</t>
  </si>
  <si>
    <t>Suggested entry</t>
  </si>
  <si>
    <t>Statement date:</t>
  </si>
  <si>
    <t>Reconciliation summary</t>
  </si>
  <si>
    <t>Metric</t>
  </si>
  <si>
    <t>How it is calculated</t>
  </si>
  <si>
    <t>Reconciliation status</t>
  </si>
  <si>
    <t>Reconciled when the adjusted bank and book balances agree.</t>
  </si>
  <si>
    <t>Ending balance from Bank Statement.</t>
  </si>
  <si>
    <t>Opening book balance plus all cash book entries that were not carried from last month.</t>
  </si>
  <si>
    <t>Adjusted bank balance less adjusted book balance.</t>
  </si>
  <si>
    <t>Deposits in transit (count)</t>
  </si>
  <si>
    <t>Cash book receipts not yet cleared at the bank.</t>
  </si>
  <si>
    <t>Outstanding checks (count)</t>
  </si>
  <si>
    <t>Cash book payments not yet cleared at the bank.</t>
  </si>
  <si>
    <t>Bank items not in the cash book (count)</t>
  </si>
  <si>
    <t>Statement lines you still need to record in your books.</t>
  </si>
  <si>
    <t>Match checks to review</t>
  </si>
  <si>
    <t>Rows where a Yes/No flag disagrees with the references on the other sheet.</t>
  </si>
  <si>
    <t>Statement foots</t>
  </si>
  <si>
    <t>OK when opening balance + transactions = ending balance on Bank Statement.</t>
  </si>
  <si>
    <t>How long uncleared items have been open</t>
  </si>
  <si>
    <t>Age bucket</t>
  </si>
  <si>
    <t>From day</t>
  </si>
  <si>
    <t>To day</t>
  </si>
  <si>
    <t>Deposits (count)</t>
  </si>
  <si>
    <t>Deposits ($)</t>
  </si>
  <si>
    <t>Checks (count)</t>
  </si>
  <si>
    <t>Checks ($)</t>
  </si>
  <si>
    <t>0-7 days</t>
  </si>
  <si>
    <t>8-30 days</t>
  </si>
  <si>
    <t>31+ days</t>
  </si>
  <si>
    <t>Days are counted from the item date to the statement end date. Checks that stay open for weeks deserve a call to the payee, and your bank can tell you its policy on stale-dated checks.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</si>
</sst>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Red]-$#,##0.00"/>
  </numFmts>
  <fonts count="9" x14ac:knownFonts="1">
    <font>
      <color theme="1"/>
      <family val="2"/>
      <scheme val="minor"/>
      <sz val="11"/>
      <name val="Calibri"/>
    </font>
    <font>
      <b/>
      <sz val="16"/>
    </font>
    <font>
      <b/>
      <sz val="12"/>
    </font>
    <font>
      <i/>
    </font>
    <font>
      <b/>
    </font>
    <font>
      <b/>
      <u/>
      <color rgb="FF1155CC"/>
      <sz val="13"/>
    </font>
    <font>
      <b/>
      <color rgb="FFFFFFFF"/>
    </font>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3">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4" fillId="0" borderId="0" xfId="0" applyFont="1" applyAlignment="1">
      <alignment horizontal="left" vertical="center" wrapText="1"/>
    </xf>
    <xf numFmtId="164"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0" fontId="4" fillId="3" borderId="1" xfId="0" applyFont="1" applyFill="1" applyBorder="1" applyAlignment="1">
      <alignment horizontal="center" vertical="center"/>
    </xf>
    <xf numFmtId="0" fontId="6" fillId="5" borderId="1" xfId="0" applyFont="1" applyFill="1" applyBorder="1" applyAlignment="1">
      <alignment horizontal="center" vertical="center" wrapText="1"/>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165" fontId="0" fillId="2" borderId="1" xfId="0" applyNumberFormat="1" applyFill="1" applyBorder="1" applyAlignment="1">
      <alignment horizontal="right" vertical="center"/>
    </xf>
    <xf numFmtId="0" fontId="0" fillId="3" borderId="1" xfId="0" applyFill="1" applyBorder="1" applyAlignment="1">
      <alignment horizontal="center" vertical="center"/>
    </xf>
    <xf numFmtId="165" fontId="4" fillId="4" borderId="1" xfId="0" applyNumberFormat="1" applyFont="1" applyFill="1" applyBorder="1" applyAlignment="1">
      <alignment horizontal="right" vertical="center"/>
    </xf>
    <xf numFmtId="3" fontId="0" fillId="3" borderId="1" xfId="0" applyNumberFormat="1" applyFill="1" applyBorder="1" applyAlignment="1">
      <alignment horizontal="center" vertical="center"/>
    </xf>
    <xf numFmtId="164" fontId="4" fillId="3" borderId="1" xfId="0" applyNumberFormat="1" applyFont="1" applyFill="1" applyBorder="1" applyAlignment="1">
      <alignment horizontal="center" vertical="center"/>
    </xf>
    <xf numFmtId="0" fontId="7" fillId="0" borderId="0" xfId="0" applyFont="1" applyAlignment="1">
      <alignment vertical="center" wrapText="1"/>
    </xf>
    <xf numFmtId="165" fontId="0" fillId="3" borderId="1" xfId="0" applyNumberFormat="1" applyFill="1" applyBorder="1" applyAlignment="1">
      <alignment horizontal="right" vertical="center"/>
    </xf>
    <xf numFmtId="0" fontId="4" fillId="0" borderId="0" xfId="0" applyFont="1" applyAlignment="1">
      <alignment vertical="center" wrapText="1"/>
    </xf>
    <xf numFmtId="0" fontId="4" fillId="4" borderId="1" xfId="0" applyFont="1" applyFill="1" applyBorder="1" applyAlignment="1">
      <alignment horizontal="center" vertical="center"/>
    </xf>
    <xf numFmtId="0" fontId="0" fillId="3" borderId="1" xfId="0" applyFill="1" applyBorder="1" applyAlignment="1">
      <alignment horizontal="left" vertical="center" wrapText="1"/>
    </xf>
    <xf numFmtId="3" fontId="4" fillId="4" borderId="1" xfId="0" applyNumberFormat="1" applyFont="1" applyFill="1" applyBorder="1" applyAlignment="1">
      <alignment horizontal="center" vertical="center"/>
    </xf>
    <xf numFmtId="3" fontId="0" fillId="2" borderId="1" xfId="0" applyNumberFormat="1" applyFill="1" applyBorder="1" applyAlignment="1">
      <alignment horizontal="center" vertical="center"/>
    </xf>
    <xf numFmtId="0" fontId="8" fillId="4" borderId="0" xfId="0" applyFont="1" applyFill="1" applyAlignment="1">
      <alignment horizontal="center" vertical="center" wrapText="1"/>
    </xf>
  </cellXfs>
  <cellStyles count="1">
    <cellStyle name="Normal" xfId="0" builtinId="0"/>
  </cellStyles>
  <dxfs count="4">
    <dxf>
      <font>
        <b/>
        <color rgb="FF1F6F5B"/>
      </font>
      <fill>
        <patternFill patternType="solid">
          <bgColor rgb="FFB6D7A8"/>
        </patternFill>
      </fill>
    </dxf>
    <dxf>
      <font>
        <b/>
        <color rgb="FFB42318"/>
      </font>
      <fill>
        <patternFill patternType="solid">
          <bgColor rgb="FFF4CCCC"/>
        </patternFill>
      </fill>
    </dxf>
    <dxf>
      <font>
        <b/>
        <color rgb="FF1F6F5B"/>
      </font>
      <fill>
        <patternFill patternType="solid">
          <bgColor rgb="FFB6D7A8"/>
        </patternFill>
      </fill>
    </dxf>
    <dxf>
      <font>
        <b/>
        <color rgb="FFB42318"/>
      </font>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bank-reconciliation-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bank-reconciliation-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45" customHeight="1" spans="1:6" x14ac:dyDescent="0.25">
      <c r="A18" s="2" t="s">
        <v>17</v>
      </c>
      <c r="B18" s="2"/>
      <c r="C18" s="2"/>
      <c r="D18" s="2"/>
      <c r="E18" s="2"/>
      <c r="F18" s="2"/>
    </row>
    <row r="19" ht="60"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spans="1:6" x14ac:dyDescent="0.25">
      <c r="A22" s="2"/>
      <c r="B22" s="2"/>
      <c r="C22" s="2"/>
      <c r="D22" s="2"/>
      <c r="E22" s="2"/>
      <c r="F22" s="2"/>
    </row>
    <row r="23" spans="1:6" x14ac:dyDescent="0.25">
      <c r="A23" s="3" t="s">
        <v>21</v>
      </c>
      <c r="B23" s="3"/>
      <c r="C23" s="3"/>
      <c r="D23" s="3"/>
      <c r="E23" s="3"/>
      <c r="F23" s="3"/>
    </row>
    <row r="24" spans="1:6" x14ac:dyDescent="0.25">
      <c r="A24" s="5" t="s">
        <v>21</v>
      </c>
      <c r="B24" s="2"/>
      <c r="C24" s="2"/>
      <c r="D24" s="2"/>
      <c r="E24" s="2"/>
      <c r="F24" s="2"/>
    </row>
    <row r="25" spans="1:6" x14ac:dyDescent="0.25">
      <c r="A25" s="6" t="s">
        <v>22</v>
      </c>
      <c r="B25" s="7" t="s">
        <v>23</v>
      </c>
      <c r="C25" s="2"/>
      <c r="D25" s="2"/>
      <c r="E25" s="2"/>
      <c r="F25" s="2"/>
    </row>
    <row r="26" spans="1:6" x14ac:dyDescent="0.25">
      <c r="A26" s="8" t="s">
        <v>22</v>
      </c>
      <c r="B26" s="7" t="s">
        <v>24</v>
      </c>
      <c r="C26" s="2"/>
      <c r="D26" s="2"/>
      <c r="E26" s="2"/>
      <c r="F26" s="2"/>
    </row>
    <row r="27" spans="1:6" x14ac:dyDescent="0.25">
      <c r="A27" s="9" t="s">
        <v>22</v>
      </c>
      <c r="B27" s="7" t="s">
        <v>25</v>
      </c>
      <c r="C27" s="2"/>
      <c r="D27" s="2"/>
      <c r="E27" s="2"/>
      <c r="F27" s="2"/>
    </row>
    <row r="28" spans="1:6" x14ac:dyDescent="0.25">
      <c r="A28" s="2"/>
      <c r="B28" s="2"/>
      <c r="C28" s="2"/>
      <c r="D28" s="2"/>
      <c r="E28" s="2"/>
      <c r="F28" s="2"/>
    </row>
    <row r="29" spans="1:6" x14ac:dyDescent="0.25">
      <c r="A29" s="3" t="s">
        <v>26</v>
      </c>
      <c r="B29" s="3"/>
      <c r="C29" s="3"/>
      <c r="D29" s="3"/>
      <c r="E29" s="3"/>
      <c r="F29" s="3"/>
    </row>
    <row r="30" ht="45" customHeight="1" spans="1:6" x14ac:dyDescent="0.25">
      <c r="A30" s="2" t="s">
        <v>27</v>
      </c>
      <c r="B30" s="2"/>
      <c r="C30" s="2"/>
      <c r="D30" s="2"/>
      <c r="E30" s="2"/>
      <c r="F30" s="2"/>
    </row>
    <row r="31" spans="1:6" x14ac:dyDescent="0.25">
      <c r="A31" s="2"/>
      <c r="B31" s="2"/>
      <c r="C31" s="2"/>
      <c r="D31" s="2"/>
      <c r="E31" s="2"/>
      <c r="F31" s="2"/>
    </row>
    <row r="32" spans="1:6" x14ac:dyDescent="0.25">
      <c r="A32" s="3" t="s">
        <v>28</v>
      </c>
      <c r="B32" s="3"/>
      <c r="C32" s="3"/>
      <c r="D32" s="3"/>
      <c r="E32" s="3"/>
      <c r="F32" s="3"/>
    </row>
    <row r="33" ht="105" customHeight="1" spans="1:6" x14ac:dyDescent="0.25">
      <c r="A33" s="2" t="s">
        <v>29</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30</v>
      </c>
      <c r="B36" s="10"/>
      <c r="C36" s="10"/>
      <c r="D36" s="10"/>
      <c r="E36" s="10"/>
      <c r="F36" s="10"/>
    </row>
  </sheetData>
  <mergeCells count="27">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8" topLeftCell="A9" activePane="bottomLeft" state="frozen"/>
      <selection pane="bottomLeft"/>
    </sheetView>
  </sheetViews>
  <sheetFormatPr defaultRowHeight="15" outlineLevelRow="0" outlineLevelCol="0" x14ac:dyDescent="55"/>
  <cols>
    <col min="1" max="1" width="13" customWidth="1"/>
    <col min="2" max="2" width="14" customWidth="1"/>
    <col min="3" max="3" width="40" customWidth="1"/>
    <col min="4" max="4" width="12" customWidth="1"/>
    <col min="5" max="5" width="20" customWidth="1"/>
    <col min="6" max="6" width="16" customWidth="1"/>
    <col min="7" max="7" width="14" customWidth="1"/>
    <col min="8" max="8" width="11" hidden="1" customWidth="1"/>
  </cols>
  <sheetData>
    <row r="1" ht="30" customHeight="1" spans="1:8" x14ac:dyDescent="0.25">
      <c r="A1" s="2" t="s">
        <v>31</v>
      </c>
      <c r="B1" s="2"/>
      <c r="C1" s="2"/>
      <c r="D1" s="2"/>
      <c r="E1" s="2"/>
      <c r="F1" s="2"/>
      <c r="G1" s="2"/>
      <c r="H1" s="2"/>
    </row>
    <row r="2" spans="1:5" x14ac:dyDescent="0.25">
      <c r="A2" s="11" t="s">
        <v>32</v>
      </c>
      <c r="B2" s="11"/>
      <c r="C2" s="11"/>
      <c r="D2" s="11"/>
      <c r="E2" s="12">
        <v>46295</v>
      </c>
    </row>
    <row r="3" spans="1:5" x14ac:dyDescent="0.25">
      <c r="A3" s="11" t="s">
        <v>33</v>
      </c>
      <c r="B3" s="11"/>
      <c r="C3" s="11"/>
      <c r="D3" s="11"/>
      <c r="E3" s="13">
        <v>10000</v>
      </c>
    </row>
    <row r="4" spans="1:5" x14ac:dyDescent="0.25">
      <c r="A4" s="11" t="s">
        <v>34</v>
      </c>
      <c r="B4" s="11"/>
      <c r="C4" s="11"/>
      <c r="D4" s="11"/>
      <c r="E4" s="13">
        <v>12500</v>
      </c>
    </row>
    <row r="5" spans="1:5" x14ac:dyDescent="0.25">
      <c r="A5" s="11" t="s">
        <v>35</v>
      </c>
      <c r="B5" s="11"/>
      <c r="C5" s="11"/>
      <c r="D5" s="11"/>
      <c r="E5" s="14">
        <f>SUM($E$9:$E$205)</f>
      </c>
    </row>
    <row r="6" spans="1:5" x14ac:dyDescent="0.25">
      <c r="A6" s="11" t="s">
        <v>36</v>
      </c>
      <c r="B6" s="11"/>
      <c r="C6" s="11"/>
      <c r="D6" s="11"/>
      <c r="E6" s="15">
        <f>IF(ROUND($E$3+$E$5-$E$4,2)=0,"OK","Check")</f>
      </c>
    </row>
    <row r="7" spans="3:3" x14ac:dyDescent="0.25">
      <c r="C7" s="2"/>
    </row>
    <row r="8" ht="30" customHeight="1" spans="1:8" x14ac:dyDescent="0.25">
      <c r="A8" s="16" t="s">
        <v>37</v>
      </c>
      <c r="B8" s="16" t="s">
        <v>38</v>
      </c>
      <c r="C8" s="16" t="s">
        <v>39</v>
      </c>
      <c r="D8" s="16" t="s">
        <v>40</v>
      </c>
      <c r="E8" s="16" t="s">
        <v>41</v>
      </c>
      <c r="F8" s="16" t="s">
        <v>42</v>
      </c>
      <c r="G8" s="16" t="s">
        <v>43</v>
      </c>
      <c r="H8" s="16" t="s">
        <v>44</v>
      </c>
    </row>
    <row r="9" spans="1:8" x14ac:dyDescent="0.25">
      <c r="A9" s="17">
        <v>46267</v>
      </c>
      <c r="B9" s="18" t="s">
        <v>45</v>
      </c>
      <c r="C9" s="19" t="s">
        <v>46</v>
      </c>
      <c r="D9" s="18" t="s">
        <v>47</v>
      </c>
      <c r="E9" s="20">
        <v>5200</v>
      </c>
      <c r="F9" s="18" t="s">
        <v>48</v>
      </c>
      <c r="G9" s="21">
        <f>IF(AND($E9="",$F9=""),"-",IF(OR(NOT(ISNUMBER($E9)),AND($F9&lt;&gt;"Yes",$F9&lt;&gt;"No")),"Check",IF($F9="Yes",IF(COUNTIF('Cash Book'!$B$6:$B$205,$B9)&gt;0,"OK","Check"),"To record")))</f>
      </c>
      <c r="H9" s="21">
        <f>IF($F9="No",COUNTIF($F$9:$F9,"No"),0)</f>
      </c>
    </row>
    <row r="10" spans="1:8" x14ac:dyDescent="0.25">
      <c r="A10" s="17">
        <v>46269</v>
      </c>
      <c r="B10" s="18" t="s">
        <v>49</v>
      </c>
      <c r="C10" s="19" t="s">
        <v>50</v>
      </c>
      <c r="D10" s="18" t="s">
        <v>51</v>
      </c>
      <c r="E10" s="20">
        <v>-2800</v>
      </c>
      <c r="F10" s="18" t="s">
        <v>48</v>
      </c>
      <c r="G10" s="21">
        <f>IF(AND($E10="",$F10=""),"-",IF(OR(NOT(ISNUMBER($E10)),AND($F10&lt;&gt;"Yes",$F10&lt;&gt;"No")),"Check",IF($F10="Yes",IF(COUNTIF('Cash Book'!$B$6:$B$205,$B10)&gt;0,"OK","Check"),"To record")))</f>
      </c>
      <c r="H10" s="21">
        <f>IF($F10="No",COUNTIF($F$9:$F10,"No"),0)</f>
      </c>
    </row>
    <row r="11" spans="1:8" x14ac:dyDescent="0.25">
      <c r="A11" s="17">
        <v>46275</v>
      </c>
      <c r="B11" s="18" t="s">
        <v>52</v>
      </c>
      <c r="C11" s="19" t="s">
        <v>53</v>
      </c>
      <c r="D11" s="18" t="s">
        <v>51</v>
      </c>
      <c r="E11" s="20">
        <v>-1150</v>
      </c>
      <c r="F11" s="18" t="s">
        <v>48</v>
      </c>
      <c r="G11" s="21">
        <f>IF(AND($E11="",$F11=""),"-",IF(OR(NOT(ISNUMBER($E11)),AND($F11&lt;&gt;"Yes",$F11&lt;&gt;"No")),"Check",IF($F11="Yes",IF(COUNTIF('Cash Book'!$B$6:$B$205,$B11)&gt;0,"OK","Check"),"To record")))</f>
      </c>
      <c r="H11" s="21">
        <f>IF($F11="No",COUNTIF($F$9:$F11,"No"),0)</f>
      </c>
    </row>
    <row r="12" spans="1:8" x14ac:dyDescent="0.25">
      <c r="A12" s="17">
        <v>46277</v>
      </c>
      <c r="B12" s="18" t="s">
        <v>54</v>
      </c>
      <c r="C12" s="19" t="s">
        <v>46</v>
      </c>
      <c r="D12" s="18" t="s">
        <v>47</v>
      </c>
      <c r="E12" s="20">
        <v>3600</v>
      </c>
      <c r="F12" s="18" t="s">
        <v>48</v>
      </c>
      <c r="G12" s="21">
        <f>IF(AND($E12="",$F12=""),"-",IF(OR(NOT(ISNUMBER($E12)),AND($F12&lt;&gt;"Yes",$F12&lt;&gt;"No")),"Check",IF($F12="Yes",IF(COUNTIF('Cash Book'!$B$6:$B$205,$B12)&gt;0,"OK","Check"),"To record")))</f>
      </c>
      <c r="H12" s="21">
        <f>IF($F12="No",COUNTIF($F$9:$F12,"No"),0)</f>
      </c>
    </row>
    <row r="13" spans="1:8" x14ac:dyDescent="0.25">
      <c r="A13" s="17">
        <v>46284</v>
      </c>
      <c r="B13" s="18" t="s">
        <v>55</v>
      </c>
      <c r="C13" s="19" t="s">
        <v>56</v>
      </c>
      <c r="D13" s="18" t="s">
        <v>51</v>
      </c>
      <c r="E13" s="20">
        <v>-1425</v>
      </c>
      <c r="F13" s="18" t="s">
        <v>48</v>
      </c>
      <c r="G13" s="21">
        <f>IF(AND($E13="",$F13=""),"-",IF(OR(NOT(ISNUMBER($E13)),AND($F13&lt;&gt;"Yes",$F13&lt;&gt;"No")),"Check",IF($F13="Yes",IF(COUNTIF('Cash Book'!$B$6:$B$205,$B13)&gt;0,"OK","Check"),"To record")))</f>
      </c>
      <c r="H13" s="21">
        <f>IF($F13="No",COUNTIF($F$9:$F13,"No"),0)</f>
      </c>
    </row>
    <row r="14" spans="1:8" x14ac:dyDescent="0.25">
      <c r="A14" s="17">
        <v>46287</v>
      </c>
      <c r="B14" s="18" t="s">
        <v>57</v>
      </c>
      <c r="C14" s="19" t="s">
        <v>58</v>
      </c>
      <c r="D14" s="18" t="s">
        <v>59</v>
      </c>
      <c r="E14" s="20">
        <v>-875</v>
      </c>
      <c r="F14" s="18" t="s">
        <v>48</v>
      </c>
      <c r="G14" s="21">
        <f>IF(AND($E14="",$F14=""),"-",IF(OR(NOT(ISNUMBER($E14)),AND($F14&lt;&gt;"Yes",$F14&lt;&gt;"No")),"Check",IF($F14="Yes",IF(COUNTIF('Cash Book'!$B$6:$B$205,$B14)&gt;0,"OK","Check"),"To record")))</f>
      </c>
      <c r="H14" s="21">
        <f>IF($F14="No",COUNTIF($F$9:$F14,"No"),0)</f>
      </c>
    </row>
    <row r="15" spans="1:8" x14ac:dyDescent="0.25">
      <c r="A15" s="17">
        <v>46295</v>
      </c>
      <c r="B15" s="18" t="s">
        <v>60</v>
      </c>
      <c r="C15" s="19" t="s">
        <v>61</v>
      </c>
      <c r="D15" s="18" t="s">
        <v>62</v>
      </c>
      <c r="E15" s="20">
        <v>-50</v>
      </c>
      <c r="F15" s="18" t="s">
        <v>63</v>
      </c>
      <c r="G15" s="21">
        <f>IF(AND($E15="",$F15=""),"-",IF(OR(NOT(ISNUMBER($E15)),AND($F15&lt;&gt;"Yes",$F15&lt;&gt;"No")),"Check",IF($F15="Yes",IF(COUNTIF('Cash Book'!$B$6:$B$205,$B15)&gt;0,"OK","Check"),"To record")))</f>
      </c>
      <c r="H15" s="21">
        <f>IF($F15="No",COUNTIF($F$9:$F15,"No"),0)</f>
      </c>
    </row>
    <row r="16" spans="1:8" x14ac:dyDescent="0.25">
      <c r="A16" s="17"/>
      <c r="B16" s="18"/>
      <c r="C16" s="19"/>
      <c r="D16" s="18"/>
      <c r="E16" s="20"/>
      <c r="F16" s="18"/>
      <c r="G16" s="21">
        <f>IF(AND($E16="",$F16=""),"-",IF(OR(NOT(ISNUMBER($E16)),AND($F16&lt;&gt;"Yes",$F16&lt;&gt;"No")),"Check",IF($F16="Yes",IF(COUNTIF('Cash Book'!$B$6:$B$205,$B16)&gt;0,"OK","Check"),"To record")))</f>
      </c>
      <c r="H16" s="21">
        <f>IF($F16="No",COUNTIF($F$9:$F16,"No"),0)</f>
      </c>
    </row>
    <row r="17" spans="1:8" x14ac:dyDescent="0.25">
      <c r="A17" s="17"/>
      <c r="B17" s="18"/>
      <c r="C17" s="19"/>
      <c r="D17" s="18"/>
      <c r="E17" s="20"/>
      <c r="F17" s="18"/>
      <c r="G17" s="21">
        <f>IF(AND($E17="",$F17=""),"-",IF(OR(NOT(ISNUMBER($E17)),AND($F17&lt;&gt;"Yes",$F17&lt;&gt;"No")),"Check",IF($F17="Yes",IF(COUNTIF('Cash Book'!$B$6:$B$205,$B17)&gt;0,"OK","Check"),"To record")))</f>
      </c>
      <c r="H17" s="21">
        <f>IF($F17="No",COUNTIF($F$9:$F17,"No"),0)</f>
      </c>
    </row>
    <row r="18" spans="1:8" x14ac:dyDescent="0.25">
      <c r="A18" s="17"/>
      <c r="B18" s="18"/>
      <c r="C18" s="19"/>
      <c r="D18" s="18"/>
      <c r="E18" s="20"/>
      <c r="F18" s="18"/>
      <c r="G18" s="21">
        <f>IF(AND($E18="",$F18=""),"-",IF(OR(NOT(ISNUMBER($E18)),AND($F18&lt;&gt;"Yes",$F18&lt;&gt;"No")),"Check",IF($F18="Yes",IF(COUNTIF('Cash Book'!$B$6:$B$205,$B18)&gt;0,"OK","Check"),"To record")))</f>
      </c>
      <c r="H18" s="21">
        <f>IF($F18="No",COUNTIF($F$9:$F18,"No"),0)</f>
      </c>
    </row>
    <row r="19" spans="1:8" x14ac:dyDescent="0.25">
      <c r="A19" s="17"/>
      <c r="B19" s="18"/>
      <c r="C19" s="19"/>
      <c r="D19" s="18"/>
      <c r="E19" s="20"/>
      <c r="F19" s="18"/>
      <c r="G19" s="21">
        <f>IF(AND($E19="",$F19=""),"-",IF(OR(NOT(ISNUMBER($E19)),AND($F19&lt;&gt;"Yes",$F19&lt;&gt;"No")),"Check",IF($F19="Yes",IF(COUNTIF('Cash Book'!$B$6:$B$205,$B19)&gt;0,"OK","Check"),"To record")))</f>
      </c>
      <c r="H19" s="21">
        <f>IF($F19="No",COUNTIF($F$9:$F19,"No"),0)</f>
      </c>
    </row>
    <row r="20" spans="1:8" x14ac:dyDescent="0.25">
      <c r="A20" s="17"/>
      <c r="B20" s="18"/>
      <c r="C20" s="19"/>
      <c r="D20" s="18"/>
      <c r="E20" s="20"/>
      <c r="F20" s="18"/>
      <c r="G20" s="21">
        <f>IF(AND($E20="",$F20=""),"-",IF(OR(NOT(ISNUMBER($E20)),AND($F20&lt;&gt;"Yes",$F20&lt;&gt;"No")),"Check",IF($F20="Yes",IF(COUNTIF('Cash Book'!$B$6:$B$205,$B20)&gt;0,"OK","Check"),"To record")))</f>
      </c>
      <c r="H20" s="21">
        <f>IF($F20="No",COUNTIF($F$9:$F20,"No"),0)</f>
      </c>
    </row>
    <row r="21" spans="1:8" x14ac:dyDescent="0.25">
      <c r="A21" s="17"/>
      <c r="B21" s="18"/>
      <c r="C21" s="19"/>
      <c r="D21" s="18"/>
      <c r="E21" s="20"/>
      <c r="F21" s="18"/>
      <c r="G21" s="21">
        <f>IF(AND($E21="",$F21=""),"-",IF(OR(NOT(ISNUMBER($E21)),AND($F21&lt;&gt;"Yes",$F21&lt;&gt;"No")),"Check",IF($F21="Yes",IF(COUNTIF('Cash Book'!$B$6:$B$205,$B21)&gt;0,"OK","Check"),"To record")))</f>
      </c>
      <c r="H21" s="21">
        <f>IF($F21="No",COUNTIF($F$9:$F21,"No"),0)</f>
      </c>
    </row>
    <row r="22" spans="1:8" x14ac:dyDescent="0.25">
      <c r="A22" s="17"/>
      <c r="B22" s="18"/>
      <c r="C22" s="19"/>
      <c r="D22" s="18"/>
      <c r="E22" s="20"/>
      <c r="F22" s="18"/>
      <c r="G22" s="21">
        <f>IF(AND($E22="",$F22=""),"-",IF(OR(NOT(ISNUMBER($E22)),AND($F22&lt;&gt;"Yes",$F22&lt;&gt;"No")),"Check",IF($F22="Yes",IF(COUNTIF('Cash Book'!$B$6:$B$205,$B22)&gt;0,"OK","Check"),"To record")))</f>
      </c>
      <c r="H22" s="21">
        <f>IF($F22="No",COUNTIF($F$9:$F22,"No"),0)</f>
      </c>
    </row>
    <row r="23" spans="1:8" x14ac:dyDescent="0.25">
      <c r="A23" s="17"/>
      <c r="B23" s="18"/>
      <c r="C23" s="19"/>
      <c r="D23" s="18"/>
      <c r="E23" s="20"/>
      <c r="F23" s="18"/>
      <c r="G23" s="21">
        <f>IF(AND($E23="",$F23=""),"-",IF(OR(NOT(ISNUMBER($E23)),AND($F23&lt;&gt;"Yes",$F23&lt;&gt;"No")),"Check",IF($F23="Yes",IF(COUNTIF('Cash Book'!$B$6:$B$205,$B23)&gt;0,"OK","Check"),"To record")))</f>
      </c>
      <c r="H23" s="21">
        <f>IF($F23="No",COUNTIF($F$9:$F23,"No"),0)</f>
      </c>
    </row>
    <row r="24" spans="1:8" x14ac:dyDescent="0.25">
      <c r="A24" s="17"/>
      <c r="B24" s="18"/>
      <c r="C24" s="19"/>
      <c r="D24" s="18"/>
      <c r="E24" s="20"/>
      <c r="F24" s="18"/>
      <c r="G24" s="21">
        <f>IF(AND($E24="",$F24=""),"-",IF(OR(NOT(ISNUMBER($E24)),AND($F24&lt;&gt;"Yes",$F24&lt;&gt;"No")),"Check",IF($F24="Yes",IF(COUNTIF('Cash Book'!$B$6:$B$205,$B24)&gt;0,"OK","Check"),"To record")))</f>
      </c>
      <c r="H24" s="21">
        <f>IF($F24="No",COUNTIF($F$9:$F24,"No"),0)</f>
      </c>
    </row>
    <row r="25" spans="1:8" x14ac:dyDescent="0.25">
      <c r="A25" s="17"/>
      <c r="B25" s="18"/>
      <c r="C25" s="19"/>
      <c r="D25" s="18"/>
      <c r="E25" s="20"/>
      <c r="F25" s="18"/>
      <c r="G25" s="21">
        <f>IF(AND($E25="",$F25=""),"-",IF(OR(NOT(ISNUMBER($E25)),AND($F25&lt;&gt;"Yes",$F25&lt;&gt;"No")),"Check",IF($F25="Yes",IF(COUNTIF('Cash Book'!$B$6:$B$205,$B25)&gt;0,"OK","Check"),"To record")))</f>
      </c>
      <c r="H25" s="21">
        <f>IF($F25="No",COUNTIF($F$9:$F25,"No"),0)</f>
      </c>
    </row>
  </sheetData>
  <mergeCells count="6">
    <mergeCell ref="A1:H1"/>
    <mergeCell ref="A2:D2"/>
    <mergeCell ref="A3:D3"/>
    <mergeCell ref="A4:D4"/>
    <mergeCell ref="A5:D5"/>
    <mergeCell ref="A6:D6"/>
  </mergeCells>
  <dataValidations count="6">
    <dataValidation type="list" allowBlank="1" showErrorMessage="1" errorTitle="Invalid type" error="Choose one of: Deposit, Check, Transfer, Fee, Interest, NSF, Other" sqref="D10:D25">
      <formula1>"Deposit,Check,Transfer,Fee,Interest,NSF,Other"</formula1>
    </dataValidation>
    <dataValidation type="list" allowBlank="1" showErrorMessage="1" errorTitle="Invalid type" error="Choose one of: Deposit, Check, Transfer, Fee, Interest, NSF, Other" sqref="D9:D25">
      <formula1>"Deposit,Check,Transfer,Fee,Interest,NSF,Other"</formula1>
    </dataValidation>
    <dataValidation type="decimal" allowBlank="1" showErrorMessage="1" errorTitle="Invalid amount" error="Enter a number between -100000000 and 100000000" sqref="E10:E25">
      <formula1>-100000000</formula1>
      <formula2>100000000</formula2>
    </dataValidation>
    <dataValidation type="decimal" allowBlank="1" showErrorMessage="1" errorTitle="Invalid amount" error="Enter a number between -100000000 and 100000000" sqref="E9:E25">
      <formula1>-100000000</formula1>
      <formula2>100000000</formula2>
    </dataValidation>
    <dataValidation type="list" allowBlank="1" showErrorMessage="1" errorTitle="Invalid flag" error="Choose one of: Yes, No" sqref="F10:F25">
      <formula1>"Yes,No"</formula1>
    </dataValidation>
    <dataValidation type="list" allowBlank="1" showErrorMessage="1" errorTitle="Invalid flag" error="Choose one of: Yes, No" sqref="F9:F25">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pane ySplit="5" topLeftCell="A6" activePane="bottomLeft" state="frozen"/>
      <selection pane="bottomLeft"/>
    </sheetView>
  </sheetViews>
  <sheetFormatPr defaultRowHeight="15" outlineLevelRow="0" outlineLevelCol="0" x14ac:dyDescent="55"/>
  <cols>
    <col min="1" max="1" width="13" customWidth="1"/>
    <col min="2" max="2" width="14" customWidth="1"/>
    <col min="3" max="3" width="36" customWidth="1"/>
    <col min="4" max="4" width="20" customWidth="1"/>
    <col min="5" max="5" width="16" customWidth="1"/>
    <col min="6" max="6" width="18" customWidth="1"/>
    <col min="7" max="7" width="19" customWidth="1"/>
    <col min="8" max="9" width="13" customWidth="1"/>
    <col min="10" max="10" width="11" hidden="1" customWidth="1"/>
  </cols>
  <sheetData>
    <row r="1" ht="30" customHeight="1" spans="1:8" x14ac:dyDescent="0.25">
      <c r="A1" s="2" t="s">
        <v>64</v>
      </c>
      <c r="B1" s="2"/>
      <c r="C1" s="2"/>
      <c r="D1" s="2"/>
      <c r="E1" s="2"/>
      <c r="F1" s="2"/>
      <c r="G1" s="2"/>
      <c r="H1" s="2"/>
    </row>
    <row r="2" spans="1:4" x14ac:dyDescent="0.25">
      <c r="A2" s="11" t="s">
        <v>65</v>
      </c>
      <c r="B2" s="11"/>
      <c r="C2" s="11"/>
      <c r="D2" s="13">
        <v>10000</v>
      </c>
    </row>
    <row r="3" spans="1:4" x14ac:dyDescent="0.25">
      <c r="A3" s="11" t="s">
        <v>66</v>
      </c>
      <c r="B3" s="11"/>
      <c r="C3" s="11"/>
      <c r="D3" s="22">
        <f>$D$2+SUMIFS($D$6:$D$205,$F$6:$F$205,"&lt;&gt;Yes")</f>
      </c>
    </row>
    <row r="4" spans="3:3" x14ac:dyDescent="0.25">
      <c r="C4" s="2"/>
    </row>
    <row r="5" ht="30" customHeight="1" spans="1:10" x14ac:dyDescent="0.25">
      <c r="A5" s="16" t="s">
        <v>37</v>
      </c>
      <c r="B5" s="16" t="s">
        <v>38</v>
      </c>
      <c r="C5" s="16" t="s">
        <v>39</v>
      </c>
      <c r="D5" s="16" t="s">
        <v>67</v>
      </c>
      <c r="E5" s="16" t="s">
        <v>68</v>
      </c>
      <c r="F5" s="16" t="s">
        <v>69</v>
      </c>
      <c r="G5" s="16" t="s">
        <v>70</v>
      </c>
      <c r="H5" s="16" t="s">
        <v>71</v>
      </c>
      <c r="I5" s="16" t="s">
        <v>72</v>
      </c>
      <c r="J5" s="16" t="s">
        <v>73</v>
      </c>
    </row>
    <row r="6" spans="1:10" x14ac:dyDescent="0.25">
      <c r="A6" s="17">
        <v>46267</v>
      </c>
      <c r="B6" s="18" t="s">
        <v>45</v>
      </c>
      <c r="C6" s="19" t="s">
        <v>74</v>
      </c>
      <c r="D6" s="20">
        <v>5200</v>
      </c>
      <c r="E6" s="18" t="s">
        <v>48</v>
      </c>
      <c r="F6" s="18" t="s">
        <v>63</v>
      </c>
      <c r="G6" s="21">
        <f>IF(AND($D6="",$E6=""),"-",IF(OR(NOT(ISNUMBER($D6)),AND($E6&lt;&gt;"Yes",$E6&lt;&gt;"No")),"Check entry",IF($E6="Yes","Cleared",IF($D6&gt;=0,"Deposit in transit","Outstanding check"))))</f>
      </c>
      <c r="H6" s="23">
        <f>IF(AND($E6="No",ISNUMBER($A6)),'Bank Statement'!$E$2-$A6,"-")</f>
      </c>
      <c r="I6" s="21">
        <f>IF(AND($D6="",$E6=""),"-",IF(OR(OR(NOT(ISNUMBER($D6)),AND($E6&lt;&gt;"Yes",$E6&lt;&gt;"No")),TRIM($B6)=""),"Check",IF(($E6="Yes")=(COUNTIF('Bank Statement'!$B$9:$B$205,$B6)&gt;0),"OK","Check")))</f>
      </c>
      <c r="J6" s="21">
        <f>IF(OR($G6="Deposit in transit",$G6="Outstanding check"),COUNTIF($G$6:$G6,"Deposit in transit")+COUNTIF($G$6:$G6,"Outstanding check"),0)</f>
      </c>
    </row>
    <row r="7" spans="1:10" x14ac:dyDescent="0.25">
      <c r="A7" s="17">
        <v>46269</v>
      </c>
      <c r="B7" s="18" t="s">
        <v>49</v>
      </c>
      <c r="C7" s="19" t="s">
        <v>75</v>
      </c>
      <c r="D7" s="20">
        <v>-2800</v>
      </c>
      <c r="E7" s="18" t="s">
        <v>48</v>
      </c>
      <c r="F7" s="18" t="s">
        <v>63</v>
      </c>
      <c r="G7" s="21">
        <f>IF(AND($D7="",$E7=""),"-",IF(OR(NOT(ISNUMBER($D7)),AND($E7&lt;&gt;"Yes",$E7&lt;&gt;"No")),"Check entry",IF($E7="Yes","Cleared",IF($D7&gt;=0,"Deposit in transit","Outstanding check"))))</f>
      </c>
      <c r="H7" s="23">
        <f>IF(AND($E7="No",ISNUMBER($A7)),'Bank Statement'!$E$2-$A7,"-")</f>
      </c>
      <c r="I7" s="21">
        <f>IF(AND($D7="",$E7=""),"-",IF(OR(OR(NOT(ISNUMBER($D7)),AND($E7&lt;&gt;"Yes",$E7&lt;&gt;"No")),TRIM($B7)=""),"Check",IF(($E7="Yes")=(COUNTIF('Bank Statement'!$B$9:$B$205,$B7)&gt;0),"OK","Check")))</f>
      </c>
      <c r="J7" s="21">
        <f>IF(OR($G7="Deposit in transit",$G7="Outstanding check"),COUNTIF($G$6:$G7,"Deposit in transit")+COUNTIF($G$6:$G7,"Outstanding check"),0)</f>
      </c>
    </row>
    <row r="8" spans="1:10" x14ac:dyDescent="0.25">
      <c r="A8" s="17">
        <v>46273</v>
      </c>
      <c r="B8" s="18" t="s">
        <v>52</v>
      </c>
      <c r="C8" s="19" t="s">
        <v>76</v>
      </c>
      <c r="D8" s="20">
        <v>-1150</v>
      </c>
      <c r="E8" s="18" t="s">
        <v>48</v>
      </c>
      <c r="F8" s="18" t="s">
        <v>63</v>
      </c>
      <c r="G8" s="21">
        <f>IF(AND($D8="",$E8=""),"-",IF(OR(NOT(ISNUMBER($D8)),AND($E8&lt;&gt;"Yes",$E8&lt;&gt;"No")),"Check entry",IF($E8="Yes","Cleared",IF($D8&gt;=0,"Deposit in transit","Outstanding check"))))</f>
      </c>
      <c r="H8" s="23">
        <f>IF(AND($E8="No",ISNUMBER($A8)),'Bank Statement'!$E$2-$A8,"-")</f>
      </c>
      <c r="I8" s="21">
        <f>IF(AND($D8="",$E8=""),"-",IF(OR(OR(NOT(ISNUMBER($D8)),AND($E8&lt;&gt;"Yes",$E8&lt;&gt;"No")),TRIM($B8)=""),"Check",IF(($E8="Yes")=(COUNTIF('Bank Statement'!$B$9:$B$205,$B8)&gt;0),"OK","Check")))</f>
      </c>
      <c r="J8" s="21">
        <f>IF(OR($G8="Deposit in transit",$G8="Outstanding check"),COUNTIF($G$6:$G8,"Deposit in transit")+COUNTIF($G$6:$G8,"Outstanding check"),0)</f>
      </c>
    </row>
    <row r="9" spans="1:10" x14ac:dyDescent="0.25">
      <c r="A9" s="17">
        <v>46274</v>
      </c>
      <c r="B9" s="18" t="s">
        <v>77</v>
      </c>
      <c r="C9" s="19" t="s">
        <v>78</v>
      </c>
      <c r="D9" s="20">
        <v>-1500</v>
      </c>
      <c r="E9" s="18" t="s">
        <v>63</v>
      </c>
      <c r="F9" s="18" t="s">
        <v>63</v>
      </c>
      <c r="G9" s="21">
        <f>IF(AND($D9="",$E9=""),"-",IF(OR(NOT(ISNUMBER($D9)),AND($E9&lt;&gt;"Yes",$E9&lt;&gt;"No")),"Check entry",IF($E9="Yes","Cleared",IF($D9&gt;=0,"Deposit in transit","Outstanding check"))))</f>
      </c>
      <c r="H9" s="23">
        <f>IF(AND($E9="No",ISNUMBER($A9)),'Bank Statement'!$E$2-$A9,"-")</f>
      </c>
      <c r="I9" s="21">
        <f>IF(AND($D9="",$E9=""),"-",IF(OR(OR(NOT(ISNUMBER($D9)),AND($E9&lt;&gt;"Yes",$E9&lt;&gt;"No")),TRIM($B9)=""),"Check",IF(($E9="Yes")=(COUNTIF('Bank Statement'!$B$9:$B$205,$B9)&gt;0),"OK","Check")))</f>
      </c>
      <c r="J9" s="21">
        <f>IF(OR($G9="Deposit in transit",$G9="Outstanding check"),COUNTIF($G$6:$G9,"Deposit in transit")+COUNTIF($G$6:$G9,"Outstanding check"),0)</f>
      </c>
    </row>
    <row r="10" spans="1:10" x14ac:dyDescent="0.25">
      <c r="A10" s="17">
        <v>46277</v>
      </c>
      <c r="B10" s="18" t="s">
        <v>54</v>
      </c>
      <c r="C10" s="19" t="s">
        <v>74</v>
      </c>
      <c r="D10" s="20">
        <v>3600</v>
      </c>
      <c r="E10" s="18" t="s">
        <v>48</v>
      </c>
      <c r="F10" s="18" t="s">
        <v>63</v>
      </c>
      <c r="G10" s="21">
        <f>IF(AND($D10="",$E10=""),"-",IF(OR(NOT(ISNUMBER($D10)),AND($E10&lt;&gt;"Yes",$E10&lt;&gt;"No")),"Check entry",IF($E10="Yes","Cleared",IF($D10&gt;=0,"Deposit in transit","Outstanding check"))))</f>
      </c>
      <c r="H10" s="23">
        <f>IF(AND($E10="No",ISNUMBER($A10)),'Bank Statement'!$E$2-$A10,"-")</f>
      </c>
      <c r="I10" s="21">
        <f>IF(AND($D10="",$E10=""),"-",IF(OR(OR(NOT(ISNUMBER($D10)),AND($E10&lt;&gt;"Yes",$E10&lt;&gt;"No")),TRIM($B10)=""),"Check",IF(($E10="Yes")=(COUNTIF('Bank Statement'!$B$9:$B$205,$B10)&gt;0),"OK","Check")))</f>
      </c>
      <c r="J10" s="21">
        <f>IF(OR($G10="Deposit in transit",$G10="Outstanding check"),COUNTIF($G$6:$G10,"Deposit in transit")+COUNTIF($G$6:$G10,"Outstanding check"),0)</f>
      </c>
    </row>
    <row r="11" spans="1:10" x14ac:dyDescent="0.25">
      <c r="A11" s="17">
        <v>46281</v>
      </c>
      <c r="B11" s="18" t="s">
        <v>55</v>
      </c>
      <c r="C11" s="19" t="s">
        <v>79</v>
      </c>
      <c r="D11" s="20">
        <v>-1425</v>
      </c>
      <c r="E11" s="18" t="s">
        <v>48</v>
      </c>
      <c r="F11" s="18" t="s">
        <v>63</v>
      </c>
      <c r="G11" s="21">
        <f>IF(AND($D11="",$E11=""),"-",IF(OR(NOT(ISNUMBER($D11)),AND($E11&lt;&gt;"Yes",$E11&lt;&gt;"No")),"Check entry",IF($E11="Yes","Cleared",IF($D11&gt;=0,"Deposit in transit","Outstanding check"))))</f>
      </c>
      <c r="H11" s="23">
        <f>IF(AND($E11="No",ISNUMBER($A11)),'Bank Statement'!$E$2-$A11,"-")</f>
      </c>
      <c r="I11" s="21">
        <f>IF(AND($D11="",$E11=""),"-",IF(OR(OR(NOT(ISNUMBER($D11)),AND($E11&lt;&gt;"Yes",$E11&lt;&gt;"No")),TRIM($B11)=""),"Check",IF(($E11="Yes")=(COUNTIF('Bank Statement'!$B$9:$B$205,$B11)&gt;0),"OK","Check")))</f>
      </c>
      <c r="J11" s="21">
        <f>IF(OR($G11="Deposit in transit",$G11="Outstanding check"),COUNTIF($G$6:$G11,"Deposit in transit")+COUNTIF($G$6:$G11,"Outstanding check"),0)</f>
      </c>
    </row>
    <row r="12" spans="1:10" x14ac:dyDescent="0.25">
      <c r="A12" s="17">
        <v>46287</v>
      </c>
      <c r="B12" s="18" t="s">
        <v>57</v>
      </c>
      <c r="C12" s="19" t="s">
        <v>80</v>
      </c>
      <c r="D12" s="20">
        <v>-875</v>
      </c>
      <c r="E12" s="18" t="s">
        <v>48</v>
      </c>
      <c r="F12" s="18" t="s">
        <v>63</v>
      </c>
      <c r="G12" s="21">
        <f>IF(AND($D12="",$E12=""),"-",IF(OR(NOT(ISNUMBER($D12)),AND($E12&lt;&gt;"Yes",$E12&lt;&gt;"No")),"Check entry",IF($E12="Yes","Cleared",IF($D12&gt;=0,"Deposit in transit","Outstanding check"))))</f>
      </c>
      <c r="H12" s="23">
        <f>IF(AND($E12="No",ISNUMBER($A12)),'Bank Statement'!$E$2-$A12,"-")</f>
      </c>
      <c r="I12" s="21">
        <f>IF(AND($D12="",$E12=""),"-",IF(OR(OR(NOT(ISNUMBER($D12)),AND($E12&lt;&gt;"Yes",$E12&lt;&gt;"No")),TRIM($B12)=""),"Check",IF(($E12="Yes")=(COUNTIF('Bank Statement'!$B$9:$B$205,$B12)&gt;0),"OK","Check")))</f>
      </c>
      <c r="J12" s="21">
        <f>IF(OR($G12="Deposit in transit",$G12="Outstanding check"),COUNTIF($G$6:$G12,"Deposit in transit")+COUNTIF($G$6:$G12,"Outstanding check"),0)</f>
      </c>
    </row>
    <row r="13" spans="1:10" x14ac:dyDescent="0.25">
      <c r="A13" s="17">
        <v>46294</v>
      </c>
      <c r="B13" s="18" t="s">
        <v>81</v>
      </c>
      <c r="C13" s="19" t="s">
        <v>82</v>
      </c>
      <c r="D13" s="20">
        <v>-850</v>
      </c>
      <c r="E13" s="18" t="s">
        <v>63</v>
      </c>
      <c r="F13" s="18" t="s">
        <v>63</v>
      </c>
      <c r="G13" s="21">
        <f>IF(AND($D13="",$E13=""),"-",IF(OR(NOT(ISNUMBER($D13)),AND($E13&lt;&gt;"Yes",$E13&lt;&gt;"No")),"Check entry",IF($E13="Yes","Cleared",IF($D13&gt;=0,"Deposit in transit","Outstanding check"))))</f>
      </c>
      <c r="H13" s="23">
        <f>IF(AND($E13="No",ISNUMBER($A13)),'Bank Statement'!$E$2-$A13,"-")</f>
      </c>
      <c r="I13" s="21">
        <f>IF(AND($D13="",$E13=""),"-",IF(OR(OR(NOT(ISNUMBER($D13)),AND($E13&lt;&gt;"Yes",$E13&lt;&gt;"No")),TRIM($B13)=""),"Check",IF(($E13="Yes")=(COUNTIF('Bank Statement'!$B$9:$B$205,$B13)&gt;0),"OK","Check")))</f>
      </c>
      <c r="J13" s="21">
        <f>IF(OR($G13="Deposit in transit",$G13="Outstanding check"),COUNTIF($G$6:$G13,"Deposit in transit")+COUNTIF($G$6:$G13,"Outstanding check"),0)</f>
      </c>
    </row>
    <row r="14" spans="1:10" x14ac:dyDescent="0.25">
      <c r="A14" s="17">
        <v>46295</v>
      </c>
      <c r="B14" s="18" t="s">
        <v>83</v>
      </c>
      <c r="C14" s="19" t="s">
        <v>84</v>
      </c>
      <c r="D14" s="20">
        <v>1200</v>
      </c>
      <c r="E14" s="18" t="s">
        <v>63</v>
      </c>
      <c r="F14" s="18" t="s">
        <v>63</v>
      </c>
      <c r="G14" s="21">
        <f>IF(AND($D14="",$E14=""),"-",IF(OR(NOT(ISNUMBER($D14)),AND($E14&lt;&gt;"Yes",$E14&lt;&gt;"No")),"Check entry",IF($E14="Yes","Cleared",IF($D14&gt;=0,"Deposit in transit","Outstanding check"))))</f>
      </c>
      <c r="H14" s="23">
        <f>IF(AND($E14="No",ISNUMBER($A14)),'Bank Statement'!$E$2-$A14,"-")</f>
      </c>
      <c r="I14" s="21">
        <f>IF(AND($D14="",$E14=""),"-",IF(OR(OR(NOT(ISNUMBER($D14)),AND($E14&lt;&gt;"Yes",$E14&lt;&gt;"No")),TRIM($B14)=""),"Check",IF(($E14="Yes")=(COUNTIF('Bank Statement'!$B$9:$B$205,$B14)&gt;0),"OK","Check")))</f>
      </c>
      <c r="J14" s="21">
        <f>IF(OR($G14="Deposit in transit",$G14="Outstanding check"),COUNTIF($G$6:$G14,"Deposit in transit")+COUNTIF($G$6:$G14,"Outstanding check"),0)</f>
      </c>
    </row>
    <row r="15" spans="1:10" x14ac:dyDescent="0.25">
      <c r="A15" s="17"/>
      <c r="B15" s="18"/>
      <c r="C15" s="19"/>
      <c r="D15" s="20"/>
      <c r="E15" s="18"/>
      <c r="F15" s="18"/>
      <c r="G15" s="21">
        <f>IF(AND($D15="",$E15=""),"-",IF(OR(NOT(ISNUMBER($D15)),AND($E15&lt;&gt;"Yes",$E15&lt;&gt;"No")),"Check entry",IF($E15="Yes","Cleared",IF($D15&gt;=0,"Deposit in transit","Outstanding check"))))</f>
      </c>
      <c r="H15" s="23">
        <f>IF(AND($E15="No",ISNUMBER($A15)),'Bank Statement'!$E$2-$A15,"-")</f>
      </c>
      <c r="I15" s="21">
        <f>IF(AND($D15="",$E15=""),"-",IF(OR(OR(NOT(ISNUMBER($D15)),AND($E15&lt;&gt;"Yes",$E15&lt;&gt;"No")),TRIM($B15)=""),"Check",IF(($E15="Yes")=(COUNTIF('Bank Statement'!$B$9:$B$205,$B15)&gt;0),"OK","Check")))</f>
      </c>
      <c r="J15" s="21">
        <f>IF(OR($G15="Deposit in transit",$G15="Outstanding check"),COUNTIF($G$6:$G15,"Deposit in transit")+COUNTIF($G$6:$G15,"Outstanding check"),0)</f>
      </c>
    </row>
    <row r="16" spans="1:10" x14ac:dyDescent="0.25">
      <c r="A16" s="17"/>
      <c r="B16" s="18"/>
      <c r="C16" s="19"/>
      <c r="D16" s="20"/>
      <c r="E16" s="18"/>
      <c r="F16" s="18"/>
      <c r="G16" s="21">
        <f>IF(AND($D16="",$E16=""),"-",IF(OR(NOT(ISNUMBER($D16)),AND($E16&lt;&gt;"Yes",$E16&lt;&gt;"No")),"Check entry",IF($E16="Yes","Cleared",IF($D16&gt;=0,"Deposit in transit","Outstanding check"))))</f>
      </c>
      <c r="H16" s="23">
        <f>IF(AND($E16="No",ISNUMBER($A16)),'Bank Statement'!$E$2-$A16,"-")</f>
      </c>
      <c r="I16" s="21">
        <f>IF(AND($D16="",$E16=""),"-",IF(OR(OR(NOT(ISNUMBER($D16)),AND($E16&lt;&gt;"Yes",$E16&lt;&gt;"No")),TRIM($B16)=""),"Check",IF(($E16="Yes")=(COUNTIF('Bank Statement'!$B$9:$B$205,$B16)&gt;0),"OK","Check")))</f>
      </c>
      <c r="J16" s="21">
        <f>IF(OR($G16="Deposit in transit",$G16="Outstanding check"),COUNTIF($G$6:$G16,"Deposit in transit")+COUNTIF($G$6:$G16,"Outstanding check"),0)</f>
      </c>
    </row>
    <row r="17" spans="1:10" x14ac:dyDescent="0.25">
      <c r="A17" s="17"/>
      <c r="B17" s="18"/>
      <c r="C17" s="19"/>
      <c r="D17" s="20"/>
      <c r="E17" s="18"/>
      <c r="F17" s="18"/>
      <c r="G17" s="21">
        <f>IF(AND($D17="",$E17=""),"-",IF(OR(NOT(ISNUMBER($D17)),AND($E17&lt;&gt;"Yes",$E17&lt;&gt;"No")),"Check entry",IF($E17="Yes","Cleared",IF($D17&gt;=0,"Deposit in transit","Outstanding check"))))</f>
      </c>
      <c r="H17" s="23">
        <f>IF(AND($E17="No",ISNUMBER($A17)),'Bank Statement'!$E$2-$A17,"-")</f>
      </c>
      <c r="I17" s="21">
        <f>IF(AND($D17="",$E17=""),"-",IF(OR(OR(NOT(ISNUMBER($D17)),AND($E17&lt;&gt;"Yes",$E17&lt;&gt;"No")),TRIM($B17)=""),"Check",IF(($E17="Yes")=(COUNTIF('Bank Statement'!$B$9:$B$205,$B17)&gt;0),"OK","Check")))</f>
      </c>
      <c r="J17" s="21">
        <f>IF(OR($G17="Deposit in transit",$G17="Outstanding check"),COUNTIF($G$6:$G17,"Deposit in transit")+COUNTIF($G$6:$G17,"Outstanding check"),0)</f>
      </c>
    </row>
    <row r="18" spans="1:10" x14ac:dyDescent="0.25">
      <c r="A18" s="17"/>
      <c r="B18" s="18"/>
      <c r="C18" s="19"/>
      <c r="D18" s="20"/>
      <c r="E18" s="18"/>
      <c r="F18" s="18"/>
      <c r="G18" s="21">
        <f>IF(AND($D18="",$E18=""),"-",IF(OR(NOT(ISNUMBER($D18)),AND($E18&lt;&gt;"Yes",$E18&lt;&gt;"No")),"Check entry",IF($E18="Yes","Cleared",IF($D18&gt;=0,"Deposit in transit","Outstanding check"))))</f>
      </c>
      <c r="H18" s="23">
        <f>IF(AND($E18="No",ISNUMBER($A18)),'Bank Statement'!$E$2-$A18,"-")</f>
      </c>
      <c r="I18" s="21">
        <f>IF(AND($D18="",$E18=""),"-",IF(OR(OR(NOT(ISNUMBER($D18)),AND($E18&lt;&gt;"Yes",$E18&lt;&gt;"No")),TRIM($B18)=""),"Check",IF(($E18="Yes")=(COUNTIF('Bank Statement'!$B$9:$B$205,$B18)&gt;0),"OK","Check")))</f>
      </c>
      <c r="J18" s="21">
        <f>IF(OR($G18="Deposit in transit",$G18="Outstanding check"),COUNTIF($G$6:$G18,"Deposit in transit")+COUNTIF($G$6:$G18,"Outstanding check"),0)</f>
      </c>
    </row>
    <row r="19" spans="1:10" x14ac:dyDescent="0.25">
      <c r="A19" s="17"/>
      <c r="B19" s="18"/>
      <c r="C19" s="19"/>
      <c r="D19" s="20"/>
      <c r="E19" s="18"/>
      <c r="F19" s="18"/>
      <c r="G19" s="21">
        <f>IF(AND($D19="",$E19=""),"-",IF(OR(NOT(ISNUMBER($D19)),AND($E19&lt;&gt;"Yes",$E19&lt;&gt;"No")),"Check entry",IF($E19="Yes","Cleared",IF($D19&gt;=0,"Deposit in transit","Outstanding check"))))</f>
      </c>
      <c r="H19" s="23">
        <f>IF(AND($E19="No",ISNUMBER($A19)),'Bank Statement'!$E$2-$A19,"-")</f>
      </c>
      <c r="I19" s="21">
        <f>IF(AND($D19="",$E19=""),"-",IF(OR(OR(NOT(ISNUMBER($D19)),AND($E19&lt;&gt;"Yes",$E19&lt;&gt;"No")),TRIM($B19)=""),"Check",IF(($E19="Yes")=(COUNTIF('Bank Statement'!$B$9:$B$205,$B19)&gt;0),"OK","Check")))</f>
      </c>
      <c r="J19" s="21">
        <f>IF(OR($G19="Deposit in transit",$G19="Outstanding check"),COUNTIF($G$6:$G19,"Deposit in transit")+COUNTIF($G$6:$G19,"Outstanding check"),0)</f>
      </c>
    </row>
    <row r="20" spans="1:10" x14ac:dyDescent="0.25">
      <c r="A20" s="17"/>
      <c r="B20" s="18"/>
      <c r="C20" s="19"/>
      <c r="D20" s="20"/>
      <c r="E20" s="18"/>
      <c r="F20" s="18"/>
      <c r="G20" s="21">
        <f>IF(AND($D20="",$E20=""),"-",IF(OR(NOT(ISNUMBER($D20)),AND($E20&lt;&gt;"Yes",$E20&lt;&gt;"No")),"Check entry",IF($E20="Yes","Cleared",IF($D20&gt;=0,"Deposit in transit","Outstanding check"))))</f>
      </c>
      <c r="H20" s="23">
        <f>IF(AND($E20="No",ISNUMBER($A20)),'Bank Statement'!$E$2-$A20,"-")</f>
      </c>
      <c r="I20" s="21">
        <f>IF(AND($D20="",$E20=""),"-",IF(OR(OR(NOT(ISNUMBER($D20)),AND($E20&lt;&gt;"Yes",$E20&lt;&gt;"No")),TRIM($B20)=""),"Check",IF(($E20="Yes")=(COUNTIF('Bank Statement'!$B$9:$B$205,$B20)&gt;0),"OK","Check")))</f>
      </c>
      <c r="J20" s="21">
        <f>IF(OR($G20="Deposit in transit",$G20="Outstanding check"),COUNTIF($G$6:$G20,"Deposit in transit")+COUNTIF($G$6:$G20,"Outstanding check"),0)</f>
      </c>
    </row>
    <row r="21" spans="1:10" x14ac:dyDescent="0.25">
      <c r="A21" s="17"/>
      <c r="B21" s="18"/>
      <c r="C21" s="19"/>
      <c r="D21" s="20"/>
      <c r="E21" s="18"/>
      <c r="F21" s="18"/>
      <c r="G21" s="21">
        <f>IF(AND($D21="",$E21=""),"-",IF(OR(NOT(ISNUMBER($D21)),AND($E21&lt;&gt;"Yes",$E21&lt;&gt;"No")),"Check entry",IF($E21="Yes","Cleared",IF($D21&gt;=0,"Deposit in transit","Outstanding check"))))</f>
      </c>
      <c r="H21" s="23">
        <f>IF(AND($E21="No",ISNUMBER($A21)),'Bank Statement'!$E$2-$A21,"-")</f>
      </c>
      <c r="I21" s="21">
        <f>IF(AND($D21="",$E21=""),"-",IF(OR(OR(NOT(ISNUMBER($D21)),AND($E21&lt;&gt;"Yes",$E21&lt;&gt;"No")),TRIM($B21)=""),"Check",IF(($E21="Yes")=(COUNTIF('Bank Statement'!$B$9:$B$205,$B21)&gt;0),"OK","Check")))</f>
      </c>
      <c r="J21" s="21">
        <f>IF(OR($G21="Deposit in transit",$G21="Outstanding check"),COUNTIF($G$6:$G21,"Deposit in transit")+COUNTIF($G$6:$G21,"Outstanding check"),0)</f>
      </c>
    </row>
    <row r="22" spans="1:10" x14ac:dyDescent="0.25">
      <c r="A22" s="17"/>
      <c r="B22" s="18"/>
      <c r="C22" s="19"/>
      <c r="D22" s="20"/>
      <c r="E22" s="18"/>
      <c r="F22" s="18"/>
      <c r="G22" s="21">
        <f>IF(AND($D22="",$E22=""),"-",IF(OR(NOT(ISNUMBER($D22)),AND($E22&lt;&gt;"Yes",$E22&lt;&gt;"No")),"Check entry",IF($E22="Yes","Cleared",IF($D22&gt;=0,"Deposit in transit","Outstanding check"))))</f>
      </c>
      <c r="H22" s="23">
        <f>IF(AND($E22="No",ISNUMBER($A22)),'Bank Statement'!$E$2-$A22,"-")</f>
      </c>
      <c r="I22" s="21">
        <f>IF(AND($D22="",$E22=""),"-",IF(OR(OR(NOT(ISNUMBER($D22)),AND($E22&lt;&gt;"Yes",$E22&lt;&gt;"No")),TRIM($B22)=""),"Check",IF(($E22="Yes")=(COUNTIF('Bank Statement'!$B$9:$B$205,$B22)&gt;0),"OK","Check")))</f>
      </c>
      <c r="J22" s="21">
        <f>IF(OR($G22="Deposit in transit",$G22="Outstanding check"),COUNTIF($G$6:$G22,"Deposit in transit")+COUNTIF($G$6:$G22,"Outstanding check"),0)</f>
      </c>
    </row>
    <row r="23" spans="1:10" x14ac:dyDescent="0.25">
      <c r="A23" s="17"/>
      <c r="B23" s="18"/>
      <c r="C23" s="19"/>
      <c r="D23" s="20"/>
      <c r="E23" s="18"/>
      <c r="F23" s="18"/>
      <c r="G23" s="21">
        <f>IF(AND($D23="",$E23=""),"-",IF(OR(NOT(ISNUMBER($D23)),AND($E23&lt;&gt;"Yes",$E23&lt;&gt;"No")),"Check entry",IF($E23="Yes","Cleared",IF($D23&gt;=0,"Deposit in transit","Outstanding check"))))</f>
      </c>
      <c r="H23" s="23">
        <f>IF(AND($E23="No",ISNUMBER($A23)),'Bank Statement'!$E$2-$A23,"-")</f>
      </c>
      <c r="I23" s="21">
        <f>IF(AND($D23="",$E23=""),"-",IF(OR(OR(NOT(ISNUMBER($D23)),AND($E23&lt;&gt;"Yes",$E23&lt;&gt;"No")),TRIM($B23)=""),"Check",IF(($E23="Yes")=(COUNTIF('Bank Statement'!$B$9:$B$205,$B23)&gt;0),"OK","Check")))</f>
      </c>
      <c r="J23" s="21">
        <f>IF(OR($G23="Deposit in transit",$G23="Outstanding check"),COUNTIF($G$6:$G23,"Deposit in transit")+COUNTIF($G$6:$G23,"Outstanding check"),0)</f>
      </c>
    </row>
    <row r="24" spans="1:10" x14ac:dyDescent="0.25">
      <c r="A24" s="17"/>
      <c r="B24" s="18"/>
      <c r="C24" s="19"/>
      <c r="D24" s="20"/>
      <c r="E24" s="18"/>
      <c r="F24" s="18"/>
      <c r="G24" s="21">
        <f>IF(AND($D24="",$E24=""),"-",IF(OR(NOT(ISNUMBER($D24)),AND($E24&lt;&gt;"Yes",$E24&lt;&gt;"No")),"Check entry",IF($E24="Yes","Cleared",IF($D24&gt;=0,"Deposit in transit","Outstanding check"))))</f>
      </c>
      <c r="H24" s="23">
        <f>IF(AND($E24="No",ISNUMBER($A24)),'Bank Statement'!$E$2-$A24,"-")</f>
      </c>
      <c r="I24" s="21">
        <f>IF(AND($D24="",$E24=""),"-",IF(OR(OR(NOT(ISNUMBER($D24)),AND($E24&lt;&gt;"Yes",$E24&lt;&gt;"No")),TRIM($B24)=""),"Check",IF(($E24="Yes")=(COUNTIF('Bank Statement'!$B$9:$B$205,$B24)&gt;0),"OK","Check")))</f>
      </c>
      <c r="J24" s="21">
        <f>IF(OR($G24="Deposit in transit",$G24="Outstanding check"),COUNTIF($G$6:$G24,"Deposit in transit")+COUNTIF($G$6:$G24,"Outstanding check"),0)</f>
      </c>
    </row>
  </sheetData>
  <mergeCells count="3">
    <mergeCell ref="A1:H1"/>
    <mergeCell ref="A2:C2"/>
    <mergeCell ref="A3:C3"/>
  </mergeCells>
  <dataValidations count="4">
    <dataValidation type="decimal" allowBlank="1" showErrorMessage="1" errorTitle="Invalid amount" error="Enter a number between -100000000 and 100000000" sqref="D10:D24">
      <formula1>-100000000</formula1>
      <formula2>100000000</formula2>
    </dataValidation>
    <dataValidation type="decimal" allowBlank="1" showErrorMessage="1" errorTitle="Invalid amount" error="Enter a number between -100000000 and 100000000" sqref="D6:D24">
      <formula1>-100000000</formula1>
      <formula2>100000000</formula2>
    </dataValidation>
    <dataValidation type="list" allowBlank="1" showErrorMessage="1" errorTitle="Invalid flag" error="Choose one of: Yes, No" sqref="E10:F24">
      <formula1>"Yes,No"</formula1>
    </dataValidation>
    <dataValidation type="list" allowBlank="1" showErrorMessage="1" errorTitle="Invalid flag" error="Choose one of: Yes, No" sqref="E6:F24">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howGridLines="0"/>
  </sheetViews>
  <sheetFormatPr defaultRowHeight="15" outlineLevelRow="0" outlineLevelCol="0" x14ac:dyDescent="55"/>
  <cols>
    <col min="1" max="1" width="46" customWidth="1"/>
    <col min="2" max="2" width="17" customWidth="1"/>
    <col min="3" max="4" width="14" customWidth="1"/>
    <col min="5" max="5" width="20" customWidth="1"/>
    <col min="6" max="6" width="18" customWidth="1"/>
  </cols>
  <sheetData>
    <row r="1" spans="1:6" x14ac:dyDescent="0.25">
      <c r="A1" s="1" t="s">
        <v>85</v>
      </c>
      <c r="B1" s="1"/>
      <c r="C1" s="1"/>
      <c r="D1" s="1"/>
      <c r="E1" s="1"/>
      <c r="F1" s="1"/>
    </row>
    <row r="2" spans="1:2" x14ac:dyDescent="0.25">
      <c r="A2" s="5" t="s">
        <v>86</v>
      </c>
      <c r="B2" s="24">
        <f>'Bank Statement'!$E$2</f>
      </c>
    </row>
    <row r="3" spans="1:1" x14ac:dyDescent="0.25">
      <c r="A3" s="2"/>
    </row>
    <row r="4" spans="1:6" x14ac:dyDescent="0.25">
      <c r="A4" s="3" t="s">
        <v>87</v>
      </c>
      <c r="B4" s="3"/>
      <c r="C4" s="3"/>
      <c r="D4" s="3"/>
      <c r="E4" s="3"/>
      <c r="F4" s="3"/>
    </row>
    <row r="5" ht="22" customHeight="1" spans="1:6" x14ac:dyDescent="0.25">
      <c r="A5" s="25" t="s">
        <v>88</v>
      </c>
      <c r="B5" s="26">
        <f>'Bank Statement'!$E$4</f>
      </c>
      <c r="C5" s="7" t="s">
        <v>89</v>
      </c>
      <c r="D5" s="7"/>
      <c r="E5" s="7"/>
      <c r="F5" s="7"/>
    </row>
    <row r="6" ht="22" customHeight="1" spans="1:6" x14ac:dyDescent="0.25">
      <c r="A6" s="25" t="s">
        <v>90</v>
      </c>
      <c r="B6" s="26">
        <f>SUMIFS('Cash Book'!$D$6:$D$205,'Cash Book'!$E$6:$E$205,"No",'Cash Book'!$D$6:$D$205,"&gt;0")</f>
      </c>
      <c r="C6" s="7" t="s">
        <v>91</v>
      </c>
      <c r="D6" s="7"/>
      <c r="E6" s="7"/>
      <c r="F6" s="7"/>
    </row>
    <row r="7" ht="22" customHeight="1" spans="1:6" x14ac:dyDescent="0.25">
      <c r="A7" s="25" t="s">
        <v>92</v>
      </c>
      <c r="B7" s="26">
        <f>-SUMIFS('Cash Book'!$D$6:$D$205,'Cash Book'!$E$6:$E$205,"No",'Cash Book'!$D$6:$D$205,"&lt;0")</f>
      </c>
      <c r="C7" s="7" t="s">
        <v>93</v>
      </c>
      <c r="D7" s="7"/>
      <c r="E7" s="7"/>
      <c r="F7" s="7"/>
    </row>
    <row r="8" ht="22" customHeight="1" spans="1:6" x14ac:dyDescent="0.25">
      <c r="A8" s="25" t="s">
        <v>94</v>
      </c>
      <c r="B8" s="20">
        <v>0</v>
      </c>
      <c r="C8" s="7" t="s">
        <v>95</v>
      </c>
      <c r="D8" s="7"/>
      <c r="E8" s="7"/>
      <c r="F8" s="7"/>
    </row>
    <row r="9" ht="22" customHeight="1" spans="1:6" x14ac:dyDescent="0.25">
      <c r="A9" s="27" t="s">
        <v>96</v>
      </c>
      <c r="B9" s="22">
        <f>$B$5+$B$6-$B$7+$B$8</f>
      </c>
      <c r="C9" s="7" t="s">
        <v>97</v>
      </c>
      <c r="D9" s="7"/>
      <c r="E9" s="7"/>
      <c r="F9" s="7"/>
    </row>
    <row r="10" spans="1:1" x14ac:dyDescent="0.25">
      <c r="A10" s="2"/>
    </row>
    <row r="11" spans="1:6" x14ac:dyDescent="0.25">
      <c r="A11" s="3" t="s">
        <v>98</v>
      </c>
      <c r="B11" s="3"/>
      <c r="C11" s="3"/>
      <c r="D11" s="3"/>
      <c r="E11" s="3"/>
      <c r="F11" s="3"/>
    </row>
    <row r="12" ht="22" customHeight="1" spans="1:6" x14ac:dyDescent="0.25">
      <c r="A12" s="25" t="s">
        <v>99</v>
      </c>
      <c r="B12" s="26">
        <f>'Cash Book'!$D$3</f>
      </c>
      <c r="C12" s="7" t="s">
        <v>100</v>
      </c>
      <c r="D12" s="7"/>
      <c r="E12" s="7"/>
      <c r="F12" s="7"/>
    </row>
    <row r="13" ht="22" customHeight="1" spans="1:6" x14ac:dyDescent="0.25">
      <c r="A13" s="25" t="s">
        <v>101</v>
      </c>
      <c r="B13" s="26">
        <f>SUMIFS('Bank Statement'!$E$9:$E$205,'Bank Statement'!$F$9:$F$205,"No",'Bank Statement'!$E$9:$E$205,"&gt;0")</f>
      </c>
      <c r="C13" s="7" t="s">
        <v>102</v>
      </c>
      <c r="D13" s="7"/>
      <c r="E13" s="7"/>
      <c r="F13" s="7"/>
    </row>
    <row r="14" ht="22" customHeight="1" spans="1:6" x14ac:dyDescent="0.25">
      <c r="A14" s="25" t="s">
        <v>103</v>
      </c>
      <c r="B14" s="26">
        <f>-SUMIFS('Bank Statement'!$E$9:$E$205,'Bank Statement'!$F$9:$F$205,"No",'Bank Statement'!$E$9:$E$205,"&lt;0")</f>
      </c>
      <c r="C14" s="7" t="s">
        <v>104</v>
      </c>
      <c r="D14" s="7"/>
      <c r="E14" s="7"/>
      <c r="F14" s="7"/>
    </row>
    <row r="15" ht="22" customHeight="1" spans="1:6" x14ac:dyDescent="0.25">
      <c r="A15" s="25" t="s">
        <v>105</v>
      </c>
      <c r="B15" s="20">
        <v>0</v>
      </c>
      <c r="C15" s="7" t="s">
        <v>106</v>
      </c>
      <c r="D15" s="7"/>
      <c r="E15" s="7"/>
      <c r="F15" s="7"/>
    </row>
    <row r="16" ht="22" customHeight="1" spans="1:6" x14ac:dyDescent="0.25">
      <c r="A16" s="27" t="s">
        <v>107</v>
      </c>
      <c r="B16" s="22">
        <f>$B$12+$B$13-$B$14+$B$15</f>
      </c>
      <c r="C16" s="7" t="s">
        <v>108</v>
      </c>
      <c r="D16" s="7"/>
      <c r="E16" s="7"/>
      <c r="F16" s="7"/>
    </row>
    <row r="17" spans="1:1" x14ac:dyDescent="0.25">
      <c r="A17" s="2"/>
    </row>
    <row r="18" spans="1:6" x14ac:dyDescent="0.25">
      <c r="A18" s="3" t="s">
        <v>109</v>
      </c>
      <c r="B18" s="3"/>
      <c r="C18" s="3"/>
      <c r="D18" s="3"/>
      <c r="E18" s="3"/>
      <c r="F18" s="3"/>
    </row>
    <row r="19" ht="22" customHeight="1" spans="1:6" x14ac:dyDescent="0.25">
      <c r="A19" s="27" t="s">
        <v>110</v>
      </c>
      <c r="B19" s="22">
        <f>ROUND($B$9-$B$16,2)</f>
      </c>
      <c r="C19" s="7" t="s">
        <v>111</v>
      </c>
      <c r="D19" s="7"/>
      <c r="E19" s="7"/>
      <c r="F19" s="7"/>
    </row>
    <row r="20" ht="22" customHeight="1" spans="1:6" x14ac:dyDescent="0.25">
      <c r="A20" s="27" t="s">
        <v>112</v>
      </c>
      <c r="B20" s="28">
        <f>IF($B$19=0,"Reconciled","Not reconciled")</f>
      </c>
      <c r="C20" s="7" t="s">
        <v>113</v>
      </c>
      <c r="D20" s="7"/>
      <c r="E20" s="7"/>
      <c r="F20" s="7"/>
    </row>
    <row r="21" spans="1:1" x14ac:dyDescent="0.25">
      <c r="A21" s="2"/>
    </row>
    <row r="22" spans="1:6" x14ac:dyDescent="0.25">
      <c r="A22" s="3" t="s">
        <v>114</v>
      </c>
      <c r="B22" s="3"/>
      <c r="C22" s="3"/>
      <c r="D22" s="3"/>
      <c r="E22" s="3"/>
      <c r="F22" s="3"/>
    </row>
    <row r="23" ht="30" customHeight="1" spans="1:6" x14ac:dyDescent="0.25">
      <c r="A23" s="16" t="s">
        <v>39</v>
      </c>
      <c r="B23" s="16" t="s">
        <v>115</v>
      </c>
      <c r="C23" s="16" t="s">
        <v>37</v>
      </c>
      <c r="D23" s="16" t="s">
        <v>38</v>
      </c>
      <c r="E23" s="16" t="s">
        <v>70</v>
      </c>
      <c r="F23" s="16" t="s">
        <v>71</v>
      </c>
    </row>
    <row r="24" spans="1:6" x14ac:dyDescent="0.25">
      <c r="A24" s="29">
        <f>IFERROR(INDEX('Cash Book'!$C$6:$C$205,MATCH(1,'Cash Book'!$J$6:$J$205,0)),"-")</f>
      </c>
      <c r="B24" s="26">
        <f>IFERROR(INDEX('Cash Book'!$D$6:$D$205,MATCH(1,'Cash Book'!$J$6:$J$205,0)),"-")</f>
      </c>
      <c r="C24" s="21">
        <f>IFERROR(TEXT(INDEX('Cash Book'!$A$6:$A$205,MATCH(1,'Cash Book'!$J$6:$J$205,0)),"yyyy-mm-dd"),"-")</f>
      </c>
      <c r="D24" s="21">
        <f>IFERROR(INDEX('Cash Book'!$B$6:$B$205,MATCH(1,'Cash Book'!$J$6:$J$205,0)),"-")</f>
      </c>
      <c r="E24" s="21">
        <f>IFERROR(INDEX('Cash Book'!$G$6:$G$205,MATCH(1,'Cash Book'!$J$6:$J$205,0)),"-")</f>
      </c>
      <c r="F24" s="23">
        <f>IFERROR(INDEX('Cash Book'!$H$6:$H$205,MATCH(1,'Cash Book'!$J$6:$J$205,0)),"-")</f>
      </c>
    </row>
    <row r="25" spans="1:6" x14ac:dyDescent="0.25">
      <c r="A25" s="29">
        <f>IFERROR(INDEX('Cash Book'!$C$6:$C$205,MATCH(2,'Cash Book'!$J$6:$J$205,0)),"-")</f>
      </c>
      <c r="B25" s="26">
        <f>IFERROR(INDEX('Cash Book'!$D$6:$D$205,MATCH(2,'Cash Book'!$J$6:$J$205,0)),"-")</f>
      </c>
      <c r="C25" s="21">
        <f>IFERROR(TEXT(INDEX('Cash Book'!$A$6:$A$205,MATCH(2,'Cash Book'!$J$6:$J$205,0)),"yyyy-mm-dd"),"-")</f>
      </c>
      <c r="D25" s="21">
        <f>IFERROR(INDEX('Cash Book'!$B$6:$B$205,MATCH(2,'Cash Book'!$J$6:$J$205,0)),"-")</f>
      </c>
      <c r="E25" s="21">
        <f>IFERROR(INDEX('Cash Book'!$G$6:$G$205,MATCH(2,'Cash Book'!$J$6:$J$205,0)),"-")</f>
      </c>
      <c r="F25" s="23">
        <f>IFERROR(INDEX('Cash Book'!$H$6:$H$205,MATCH(2,'Cash Book'!$J$6:$J$205,0)),"-")</f>
      </c>
    </row>
    <row r="26" spans="1:6" x14ac:dyDescent="0.25">
      <c r="A26" s="29">
        <f>IFERROR(INDEX('Cash Book'!$C$6:$C$205,MATCH(3,'Cash Book'!$J$6:$J$205,0)),"-")</f>
      </c>
      <c r="B26" s="26">
        <f>IFERROR(INDEX('Cash Book'!$D$6:$D$205,MATCH(3,'Cash Book'!$J$6:$J$205,0)),"-")</f>
      </c>
      <c r="C26" s="21">
        <f>IFERROR(TEXT(INDEX('Cash Book'!$A$6:$A$205,MATCH(3,'Cash Book'!$J$6:$J$205,0)),"yyyy-mm-dd"),"-")</f>
      </c>
      <c r="D26" s="21">
        <f>IFERROR(INDEX('Cash Book'!$B$6:$B$205,MATCH(3,'Cash Book'!$J$6:$J$205,0)),"-")</f>
      </c>
      <c r="E26" s="21">
        <f>IFERROR(INDEX('Cash Book'!$G$6:$G$205,MATCH(3,'Cash Book'!$J$6:$J$205,0)),"-")</f>
      </c>
      <c r="F26" s="23">
        <f>IFERROR(INDEX('Cash Book'!$H$6:$H$205,MATCH(3,'Cash Book'!$J$6:$J$205,0)),"-")</f>
      </c>
    </row>
    <row r="27" spans="1:6" x14ac:dyDescent="0.25">
      <c r="A27" s="29">
        <f>IFERROR(INDEX('Cash Book'!$C$6:$C$205,MATCH(4,'Cash Book'!$J$6:$J$205,0)),"-")</f>
      </c>
      <c r="B27" s="26">
        <f>IFERROR(INDEX('Cash Book'!$D$6:$D$205,MATCH(4,'Cash Book'!$J$6:$J$205,0)),"-")</f>
      </c>
      <c r="C27" s="21">
        <f>IFERROR(TEXT(INDEX('Cash Book'!$A$6:$A$205,MATCH(4,'Cash Book'!$J$6:$J$205,0)),"yyyy-mm-dd"),"-")</f>
      </c>
      <c r="D27" s="21">
        <f>IFERROR(INDEX('Cash Book'!$B$6:$B$205,MATCH(4,'Cash Book'!$J$6:$J$205,0)),"-")</f>
      </c>
      <c r="E27" s="21">
        <f>IFERROR(INDEX('Cash Book'!$G$6:$G$205,MATCH(4,'Cash Book'!$J$6:$J$205,0)),"-")</f>
      </c>
      <c r="F27" s="23">
        <f>IFERROR(INDEX('Cash Book'!$H$6:$H$205,MATCH(4,'Cash Book'!$J$6:$J$205,0)),"-")</f>
      </c>
    </row>
    <row r="28" spans="1:6" x14ac:dyDescent="0.25">
      <c r="A28" s="29">
        <f>IFERROR(INDEX('Cash Book'!$C$6:$C$205,MATCH(5,'Cash Book'!$J$6:$J$205,0)),"-")</f>
      </c>
      <c r="B28" s="26">
        <f>IFERROR(INDEX('Cash Book'!$D$6:$D$205,MATCH(5,'Cash Book'!$J$6:$J$205,0)),"-")</f>
      </c>
      <c r="C28" s="21">
        <f>IFERROR(TEXT(INDEX('Cash Book'!$A$6:$A$205,MATCH(5,'Cash Book'!$J$6:$J$205,0)),"yyyy-mm-dd"),"-")</f>
      </c>
      <c r="D28" s="21">
        <f>IFERROR(INDEX('Cash Book'!$B$6:$B$205,MATCH(5,'Cash Book'!$J$6:$J$205,0)),"-")</f>
      </c>
      <c r="E28" s="21">
        <f>IFERROR(INDEX('Cash Book'!$G$6:$G$205,MATCH(5,'Cash Book'!$J$6:$J$205,0)),"-")</f>
      </c>
      <c r="F28" s="23">
        <f>IFERROR(INDEX('Cash Book'!$H$6:$H$205,MATCH(5,'Cash Book'!$J$6:$J$205,0)),"-")</f>
      </c>
    </row>
    <row r="29" spans="1:6" x14ac:dyDescent="0.25">
      <c r="A29" s="29">
        <f>IFERROR(INDEX('Cash Book'!$C$6:$C$205,MATCH(6,'Cash Book'!$J$6:$J$205,0)),"-")</f>
      </c>
      <c r="B29" s="26">
        <f>IFERROR(INDEX('Cash Book'!$D$6:$D$205,MATCH(6,'Cash Book'!$J$6:$J$205,0)),"-")</f>
      </c>
      <c r="C29" s="21">
        <f>IFERROR(TEXT(INDEX('Cash Book'!$A$6:$A$205,MATCH(6,'Cash Book'!$J$6:$J$205,0)),"yyyy-mm-dd"),"-")</f>
      </c>
      <c r="D29" s="21">
        <f>IFERROR(INDEX('Cash Book'!$B$6:$B$205,MATCH(6,'Cash Book'!$J$6:$J$205,0)),"-")</f>
      </c>
      <c r="E29" s="21">
        <f>IFERROR(INDEX('Cash Book'!$G$6:$G$205,MATCH(6,'Cash Book'!$J$6:$J$205,0)),"-")</f>
      </c>
      <c r="F29" s="23">
        <f>IFERROR(INDEX('Cash Book'!$H$6:$H$205,MATCH(6,'Cash Book'!$J$6:$J$205,0)),"-")</f>
      </c>
    </row>
    <row r="30" spans="1:6" x14ac:dyDescent="0.25">
      <c r="A30" s="29">
        <f>IFERROR(INDEX('Cash Book'!$C$6:$C$205,MATCH(7,'Cash Book'!$J$6:$J$205,0)),"-")</f>
      </c>
      <c r="B30" s="26">
        <f>IFERROR(INDEX('Cash Book'!$D$6:$D$205,MATCH(7,'Cash Book'!$J$6:$J$205,0)),"-")</f>
      </c>
      <c r="C30" s="21">
        <f>IFERROR(TEXT(INDEX('Cash Book'!$A$6:$A$205,MATCH(7,'Cash Book'!$J$6:$J$205,0)),"yyyy-mm-dd"),"-")</f>
      </c>
      <c r="D30" s="21">
        <f>IFERROR(INDEX('Cash Book'!$B$6:$B$205,MATCH(7,'Cash Book'!$J$6:$J$205,0)),"-")</f>
      </c>
      <c r="E30" s="21">
        <f>IFERROR(INDEX('Cash Book'!$G$6:$G$205,MATCH(7,'Cash Book'!$J$6:$J$205,0)),"-")</f>
      </c>
      <c r="F30" s="23">
        <f>IFERROR(INDEX('Cash Book'!$H$6:$H$205,MATCH(7,'Cash Book'!$J$6:$J$205,0)),"-")</f>
      </c>
    </row>
    <row r="31" spans="1:6" x14ac:dyDescent="0.25">
      <c r="A31" s="29">
        <f>IFERROR(INDEX('Cash Book'!$C$6:$C$205,MATCH(8,'Cash Book'!$J$6:$J$205,0)),"-")</f>
      </c>
      <c r="B31" s="26">
        <f>IFERROR(INDEX('Cash Book'!$D$6:$D$205,MATCH(8,'Cash Book'!$J$6:$J$205,0)),"-")</f>
      </c>
      <c r="C31" s="21">
        <f>IFERROR(TEXT(INDEX('Cash Book'!$A$6:$A$205,MATCH(8,'Cash Book'!$J$6:$J$205,0)),"yyyy-mm-dd"),"-")</f>
      </c>
      <c r="D31" s="21">
        <f>IFERROR(INDEX('Cash Book'!$B$6:$B$205,MATCH(8,'Cash Book'!$J$6:$J$205,0)),"-")</f>
      </c>
      <c r="E31" s="21">
        <f>IFERROR(INDEX('Cash Book'!$G$6:$G$205,MATCH(8,'Cash Book'!$J$6:$J$205,0)),"-")</f>
      </c>
      <c r="F31" s="23">
        <f>IFERROR(INDEX('Cash Book'!$H$6:$H$205,MATCH(8,'Cash Book'!$J$6:$J$205,0)),"-")</f>
      </c>
    </row>
    <row r="32" spans="1:6" x14ac:dyDescent="0.25">
      <c r="A32" s="29">
        <f>IFERROR(INDEX('Cash Book'!$C$6:$C$205,MATCH(9,'Cash Book'!$J$6:$J$205,0)),"-")</f>
      </c>
      <c r="B32" s="26">
        <f>IFERROR(INDEX('Cash Book'!$D$6:$D$205,MATCH(9,'Cash Book'!$J$6:$J$205,0)),"-")</f>
      </c>
      <c r="C32" s="21">
        <f>IFERROR(TEXT(INDEX('Cash Book'!$A$6:$A$205,MATCH(9,'Cash Book'!$J$6:$J$205,0)),"yyyy-mm-dd"),"-")</f>
      </c>
      <c r="D32" s="21">
        <f>IFERROR(INDEX('Cash Book'!$B$6:$B$205,MATCH(9,'Cash Book'!$J$6:$J$205,0)),"-")</f>
      </c>
      <c r="E32" s="21">
        <f>IFERROR(INDEX('Cash Book'!$G$6:$G$205,MATCH(9,'Cash Book'!$J$6:$J$205,0)),"-")</f>
      </c>
      <c r="F32" s="23">
        <f>IFERROR(INDEX('Cash Book'!$H$6:$H$205,MATCH(9,'Cash Book'!$J$6:$J$205,0)),"-")</f>
      </c>
    </row>
    <row r="33" spans="1:6" x14ac:dyDescent="0.25">
      <c r="A33" s="29">
        <f>IFERROR(INDEX('Cash Book'!$C$6:$C$205,MATCH(10,'Cash Book'!$J$6:$J$205,0)),"-")</f>
      </c>
      <c r="B33" s="26">
        <f>IFERROR(INDEX('Cash Book'!$D$6:$D$205,MATCH(10,'Cash Book'!$J$6:$J$205,0)),"-")</f>
      </c>
      <c r="C33" s="21">
        <f>IFERROR(TEXT(INDEX('Cash Book'!$A$6:$A$205,MATCH(10,'Cash Book'!$J$6:$J$205,0)),"yyyy-mm-dd"),"-")</f>
      </c>
      <c r="D33" s="21">
        <f>IFERROR(INDEX('Cash Book'!$B$6:$B$205,MATCH(10,'Cash Book'!$J$6:$J$205,0)),"-")</f>
      </c>
      <c r="E33" s="21">
        <f>IFERROR(INDEX('Cash Book'!$G$6:$G$205,MATCH(10,'Cash Book'!$J$6:$J$205,0)),"-")</f>
      </c>
      <c r="F33" s="23">
        <f>IFERROR(INDEX('Cash Book'!$H$6:$H$205,MATCH(10,'Cash Book'!$J$6:$J$205,0)),"-")</f>
      </c>
    </row>
    <row r="34" spans="1:6" x14ac:dyDescent="0.25">
      <c r="A34" s="4">
        <f>IF(COUNTIF('Cash Book'!$E$6:$E$205,"No")&gt;10,"Warning: "&amp;COUNTIF('Cash Book'!$E$6:$E$205,"No")&amp;" uncleared items. Only the first 10 are listed; the totals above still include all of them.","All "&amp;COUNTIF('Cash Book'!$E$6:$E$205,"No")&amp;" uncleared items are listed.")</f>
      </c>
      <c r="B34" s="4"/>
      <c r="C34" s="4"/>
      <c r="D34" s="4"/>
      <c r="E34" s="4"/>
      <c r="F34" s="4"/>
    </row>
    <row r="35" spans="1:1" x14ac:dyDescent="0.25">
      <c r="A35" s="2"/>
    </row>
    <row r="36" spans="1:6" x14ac:dyDescent="0.25">
      <c r="A36" s="3" t="s">
        <v>116</v>
      </c>
      <c r="B36" s="3"/>
      <c r="C36" s="3"/>
      <c r="D36" s="3"/>
      <c r="E36" s="3"/>
      <c r="F36" s="3"/>
    </row>
    <row r="37" ht="30" customHeight="1" spans="1:6" x14ac:dyDescent="0.25">
      <c r="A37" s="16" t="s">
        <v>39</v>
      </c>
      <c r="B37" s="16" t="s">
        <v>115</v>
      </c>
      <c r="C37" s="16" t="s">
        <v>37</v>
      </c>
      <c r="D37" s="16" t="s">
        <v>38</v>
      </c>
      <c r="E37" s="16" t="s">
        <v>117</v>
      </c>
      <c r="F37" s="16" t="s">
        <v>22</v>
      </c>
    </row>
    <row r="38" spans="1:6" x14ac:dyDescent="0.25">
      <c r="A38" s="29">
        <f>IFERROR(INDEX('Bank Statement'!$C$9:$C$205,MATCH(1,'Bank Statement'!$H$9:$H$205,0)),"-")</f>
      </c>
      <c r="B38" s="26">
        <f>IFERROR(INDEX('Bank Statement'!$E$9:$E$205,MATCH(1,'Bank Statement'!$H$9:$H$205,0)),"-")</f>
      </c>
      <c r="C38" s="21">
        <f>IFERROR(TEXT(INDEX('Bank Statement'!$A$9:$A$205,MATCH(1,'Bank Statement'!$H$9:$H$205,0)),"yyyy-mm-dd"),"-")</f>
      </c>
      <c r="D38" s="21">
        <f>IFERROR(INDEX('Bank Statement'!$B$9:$B$205,MATCH(1,'Bank Statement'!$H$9:$H$205,0)),"-")</f>
      </c>
      <c r="E38" s="21">
        <f>IF(ISNUMBER($B38),IF($B38&lt;0,"Record bank charge","Record bank credit"),"-")</f>
      </c>
      <c r="F38" s="21"/>
    </row>
    <row r="39" spans="1:6" x14ac:dyDescent="0.25">
      <c r="A39" s="29">
        <f>IFERROR(INDEX('Bank Statement'!$C$9:$C$205,MATCH(2,'Bank Statement'!$H$9:$H$205,0)),"-")</f>
      </c>
      <c r="B39" s="26">
        <f>IFERROR(INDEX('Bank Statement'!$E$9:$E$205,MATCH(2,'Bank Statement'!$H$9:$H$205,0)),"-")</f>
      </c>
      <c r="C39" s="21">
        <f>IFERROR(TEXT(INDEX('Bank Statement'!$A$9:$A$205,MATCH(2,'Bank Statement'!$H$9:$H$205,0)),"yyyy-mm-dd"),"-")</f>
      </c>
      <c r="D39" s="21">
        <f>IFERROR(INDEX('Bank Statement'!$B$9:$B$205,MATCH(2,'Bank Statement'!$H$9:$H$205,0)),"-")</f>
      </c>
      <c r="E39" s="21">
        <f>IF(ISNUMBER($B39),IF($B39&lt;0,"Record bank charge","Record bank credit"),"-")</f>
      </c>
      <c r="F39" s="21"/>
    </row>
    <row r="40" spans="1:6" x14ac:dyDescent="0.25">
      <c r="A40" s="29">
        <f>IFERROR(INDEX('Bank Statement'!$C$9:$C$205,MATCH(3,'Bank Statement'!$H$9:$H$205,0)),"-")</f>
      </c>
      <c r="B40" s="26">
        <f>IFERROR(INDEX('Bank Statement'!$E$9:$E$205,MATCH(3,'Bank Statement'!$H$9:$H$205,0)),"-")</f>
      </c>
      <c r="C40" s="21">
        <f>IFERROR(TEXT(INDEX('Bank Statement'!$A$9:$A$205,MATCH(3,'Bank Statement'!$H$9:$H$205,0)),"yyyy-mm-dd"),"-")</f>
      </c>
      <c r="D40" s="21">
        <f>IFERROR(INDEX('Bank Statement'!$B$9:$B$205,MATCH(3,'Bank Statement'!$H$9:$H$205,0)),"-")</f>
      </c>
      <c r="E40" s="21">
        <f>IF(ISNUMBER($B40),IF($B40&lt;0,"Record bank charge","Record bank credit"),"-")</f>
      </c>
      <c r="F40" s="21"/>
    </row>
    <row r="41" spans="1:6" x14ac:dyDescent="0.25">
      <c r="A41" s="29">
        <f>IFERROR(INDEX('Bank Statement'!$C$9:$C$205,MATCH(4,'Bank Statement'!$H$9:$H$205,0)),"-")</f>
      </c>
      <c r="B41" s="26">
        <f>IFERROR(INDEX('Bank Statement'!$E$9:$E$205,MATCH(4,'Bank Statement'!$H$9:$H$205,0)),"-")</f>
      </c>
      <c r="C41" s="21">
        <f>IFERROR(TEXT(INDEX('Bank Statement'!$A$9:$A$205,MATCH(4,'Bank Statement'!$H$9:$H$205,0)),"yyyy-mm-dd"),"-")</f>
      </c>
      <c r="D41" s="21">
        <f>IFERROR(INDEX('Bank Statement'!$B$9:$B$205,MATCH(4,'Bank Statement'!$H$9:$H$205,0)),"-")</f>
      </c>
      <c r="E41" s="21">
        <f>IF(ISNUMBER($B41),IF($B41&lt;0,"Record bank charge","Record bank credit"),"-")</f>
      </c>
      <c r="F41" s="21"/>
    </row>
    <row r="42" spans="1:6" x14ac:dyDescent="0.25">
      <c r="A42" s="29">
        <f>IFERROR(INDEX('Bank Statement'!$C$9:$C$205,MATCH(5,'Bank Statement'!$H$9:$H$205,0)),"-")</f>
      </c>
      <c r="B42" s="26">
        <f>IFERROR(INDEX('Bank Statement'!$E$9:$E$205,MATCH(5,'Bank Statement'!$H$9:$H$205,0)),"-")</f>
      </c>
      <c r="C42" s="21">
        <f>IFERROR(TEXT(INDEX('Bank Statement'!$A$9:$A$205,MATCH(5,'Bank Statement'!$H$9:$H$205,0)),"yyyy-mm-dd"),"-")</f>
      </c>
      <c r="D42" s="21">
        <f>IFERROR(INDEX('Bank Statement'!$B$9:$B$205,MATCH(5,'Bank Statement'!$H$9:$H$205,0)),"-")</f>
      </c>
      <c r="E42" s="21">
        <f>IF(ISNUMBER($B42),IF($B42&lt;0,"Record bank charge","Record bank credit"),"-")</f>
      </c>
      <c r="F42" s="21"/>
    </row>
    <row r="43" spans="1:6" x14ac:dyDescent="0.25">
      <c r="A43" s="29">
        <f>IFERROR(INDEX('Bank Statement'!$C$9:$C$205,MATCH(6,'Bank Statement'!$H$9:$H$205,0)),"-")</f>
      </c>
      <c r="B43" s="26">
        <f>IFERROR(INDEX('Bank Statement'!$E$9:$E$205,MATCH(6,'Bank Statement'!$H$9:$H$205,0)),"-")</f>
      </c>
      <c r="C43" s="21">
        <f>IFERROR(TEXT(INDEX('Bank Statement'!$A$9:$A$205,MATCH(6,'Bank Statement'!$H$9:$H$205,0)),"yyyy-mm-dd"),"-")</f>
      </c>
      <c r="D43" s="21">
        <f>IFERROR(INDEX('Bank Statement'!$B$9:$B$205,MATCH(6,'Bank Statement'!$H$9:$H$205,0)),"-")</f>
      </c>
      <c r="E43" s="21">
        <f>IF(ISNUMBER($B43),IF($B43&lt;0,"Record bank charge","Record bank credit"),"-")</f>
      </c>
      <c r="F43" s="21"/>
    </row>
    <row r="44" spans="1:6" x14ac:dyDescent="0.25">
      <c r="A44" s="4">
        <f>IF(COUNTIF('Bank Statement'!$F$9:$F$205,"No")&gt;6,"Warning: "&amp;COUNTIF('Bank Statement'!$F$9:$F$205,"No")&amp;" bank items are not in the cash book. Only the first 6 are listed; the totals above still include all of them.","All "&amp;COUNTIF('Bank Statement'!$F$9:$F$205,"No")&amp;" bank items not yet in the cash book are listed.")</f>
      </c>
      <c r="B44" s="4"/>
      <c r="C44" s="4"/>
      <c r="D44" s="4"/>
      <c r="E44" s="4"/>
      <c r="F44" s="4"/>
    </row>
  </sheetData>
  <mergeCells count="26">
    <mergeCell ref="A1:F1"/>
    <mergeCell ref="A4:F4"/>
    <mergeCell ref="C5:F5"/>
    <mergeCell ref="C6:F6"/>
    <mergeCell ref="C7:F7"/>
    <mergeCell ref="C8:F8"/>
    <mergeCell ref="C9:F9"/>
    <mergeCell ref="A11:F11"/>
    <mergeCell ref="C12:F12"/>
    <mergeCell ref="C13:F13"/>
    <mergeCell ref="C14:F14"/>
    <mergeCell ref="C15:F15"/>
    <mergeCell ref="C16:F16"/>
    <mergeCell ref="A18:F18"/>
    <mergeCell ref="C19:F19"/>
    <mergeCell ref="C20:F20"/>
    <mergeCell ref="A22:F22"/>
    <mergeCell ref="A34:F34"/>
    <mergeCell ref="A36:F36"/>
    <mergeCell ref="E38:F38"/>
    <mergeCell ref="E39:F39"/>
    <mergeCell ref="E40:F40"/>
    <mergeCell ref="E41:F41"/>
    <mergeCell ref="E42:F42"/>
    <mergeCell ref="E43:F43"/>
    <mergeCell ref="A44:F44"/>
  </mergeCells>
  <conditionalFormatting sqref="B20">
    <cfRule type="cellIs" dxfId="0" priority="1" operator="equal">
      <formula>"Reconciled"</formula>
    </cfRule>
    <cfRule type="cellIs" dxfId="1" priority="2" operator="equal">
      <formula>"Not reconciled"</formula>
    </cfRule>
  </conditionalFormatting>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howGridLines="0"/>
  </sheetViews>
  <sheetFormatPr defaultRowHeight="15" outlineLevelRow="0" outlineLevelCol="0" x14ac:dyDescent="55"/>
  <cols>
    <col min="1" max="1" width="38" customWidth="1"/>
    <col min="2" max="2" width="18" customWidth="1"/>
    <col min="3" max="3" width="12" customWidth="1"/>
    <col min="4" max="5" width="17" customWidth="1"/>
    <col min="6" max="6" width="16" customWidth="1"/>
    <col min="7" max="7" width="17" customWidth="1"/>
  </cols>
  <sheetData>
    <row r="1" spans="1:7" x14ac:dyDescent="0.25">
      <c r="A1" s="1" t="s">
        <v>0</v>
      </c>
      <c r="B1" s="1"/>
      <c r="C1" s="1"/>
      <c r="D1" s="1"/>
      <c r="E1" s="1"/>
      <c r="F1" s="1"/>
      <c r="G1" s="1"/>
    </row>
    <row r="2" spans="1:1" x14ac:dyDescent="0.25">
      <c r="A2" s="2"/>
    </row>
    <row r="3" spans="1:2" x14ac:dyDescent="0.25">
      <c r="A3" s="5" t="s">
        <v>118</v>
      </c>
      <c r="B3" s="24">
        <f>'Bank Statement'!$E$2</f>
      </c>
    </row>
    <row r="4" spans="1:1" x14ac:dyDescent="0.25">
      <c r="A4" s="2"/>
    </row>
    <row r="5" spans="1:7" x14ac:dyDescent="0.25">
      <c r="A5" s="3" t="s">
        <v>119</v>
      </c>
      <c r="B5" s="3"/>
      <c r="C5" s="3"/>
      <c r="D5" s="3"/>
      <c r="E5" s="3"/>
      <c r="F5" s="3"/>
      <c r="G5" s="3"/>
    </row>
    <row r="6" ht="30" customHeight="1" spans="1:7" x14ac:dyDescent="0.25">
      <c r="A6" s="16" t="s">
        <v>120</v>
      </c>
      <c r="B6" s="16" t="s">
        <v>109</v>
      </c>
      <c r="C6" s="16" t="s">
        <v>121</v>
      </c>
      <c r="D6" s="16"/>
      <c r="E6" s="16"/>
      <c r="F6" s="16"/>
      <c r="G6" s="16"/>
    </row>
    <row r="7" spans="1:7" x14ac:dyDescent="0.25">
      <c r="A7" s="5" t="s">
        <v>122</v>
      </c>
      <c r="B7" s="28">
        <f>Reconciliation!$B$20</f>
      </c>
      <c r="C7" s="7" t="s">
        <v>123</v>
      </c>
      <c r="D7" s="7"/>
      <c r="E7" s="7"/>
      <c r="F7" s="7"/>
      <c r="G7" s="7"/>
    </row>
    <row r="8" spans="1:7" x14ac:dyDescent="0.25">
      <c r="A8" s="5" t="s">
        <v>88</v>
      </c>
      <c r="B8" s="22">
        <f>Reconciliation!$B$5</f>
      </c>
      <c r="C8" s="7" t="s">
        <v>124</v>
      </c>
      <c r="D8" s="7"/>
      <c r="E8" s="7"/>
      <c r="F8" s="7"/>
      <c r="G8" s="7"/>
    </row>
    <row r="9" spans="1:7" x14ac:dyDescent="0.25">
      <c r="A9" s="5" t="s">
        <v>96</v>
      </c>
      <c r="B9" s="22">
        <f>Reconciliation!$B$9</f>
      </c>
      <c r="C9" s="7" t="s">
        <v>97</v>
      </c>
      <c r="D9" s="7"/>
      <c r="E9" s="7"/>
      <c r="F9" s="7"/>
      <c r="G9" s="7"/>
    </row>
    <row r="10" spans="1:7" x14ac:dyDescent="0.25">
      <c r="A10" s="5" t="s">
        <v>99</v>
      </c>
      <c r="B10" s="22">
        <f>Reconciliation!$B$12</f>
      </c>
      <c r="C10" s="7" t="s">
        <v>125</v>
      </c>
      <c r="D10" s="7"/>
      <c r="E10" s="7"/>
      <c r="F10" s="7"/>
      <c r="G10" s="7"/>
    </row>
    <row r="11" spans="1:7" x14ac:dyDescent="0.25">
      <c r="A11" s="5" t="s">
        <v>107</v>
      </c>
      <c r="B11" s="22">
        <f>Reconciliation!$B$16</f>
      </c>
      <c r="C11" s="7" t="s">
        <v>108</v>
      </c>
      <c r="D11" s="7"/>
      <c r="E11" s="7"/>
      <c r="F11" s="7"/>
      <c r="G11" s="7"/>
    </row>
    <row r="12" spans="1:7" x14ac:dyDescent="0.25">
      <c r="A12" s="5" t="s">
        <v>110</v>
      </c>
      <c r="B12" s="22">
        <f>Reconciliation!$B$19</f>
      </c>
      <c r="C12" s="7" t="s">
        <v>126</v>
      </c>
      <c r="D12" s="7"/>
      <c r="E12" s="7"/>
      <c r="F12" s="7"/>
      <c r="G12" s="7"/>
    </row>
    <row r="13" spans="1:7" x14ac:dyDescent="0.25">
      <c r="A13" s="5" t="s">
        <v>127</v>
      </c>
      <c r="B13" s="30">
        <f>COUNTIFS('Cash Book'!$E$6:$E$205,"No",'Cash Book'!$D$6:$D$205,"&gt;0")</f>
      </c>
      <c r="C13" s="7" t="s">
        <v>128</v>
      </c>
      <c r="D13" s="7"/>
      <c r="E13" s="7"/>
      <c r="F13" s="7"/>
      <c r="G13" s="7"/>
    </row>
    <row r="14" spans="1:7" x14ac:dyDescent="0.25">
      <c r="A14" s="5" t="s">
        <v>129</v>
      </c>
      <c r="B14" s="30">
        <f>COUNTIFS('Cash Book'!$E$6:$E$205,"No",'Cash Book'!$D$6:$D$205,"&lt;0")</f>
      </c>
      <c r="C14" s="7" t="s">
        <v>130</v>
      </c>
      <c r="D14" s="7"/>
      <c r="E14" s="7"/>
      <c r="F14" s="7"/>
      <c r="G14" s="7"/>
    </row>
    <row r="15" spans="1:7" x14ac:dyDescent="0.25">
      <c r="A15" s="5" t="s">
        <v>131</v>
      </c>
      <c r="B15" s="30">
        <f>COUNTIF('Bank Statement'!$F$9:$F$205,"No")</f>
      </c>
      <c r="C15" s="7" t="s">
        <v>132</v>
      </c>
      <c r="D15" s="7"/>
      <c r="E15" s="7"/>
      <c r="F15" s="7"/>
      <c r="G15" s="7"/>
    </row>
    <row r="16" spans="1:7" x14ac:dyDescent="0.25">
      <c r="A16" s="5" t="s">
        <v>133</v>
      </c>
      <c r="B16" s="30">
        <f>COUNTIF('Cash Book'!$I$6:$I$205,"Check")+COUNTIF('Bank Statement'!$G$9:$G$205,"Check")</f>
      </c>
      <c r="C16" s="7" t="s">
        <v>134</v>
      </c>
      <c r="D16" s="7"/>
      <c r="E16" s="7"/>
      <c r="F16" s="7"/>
      <c r="G16" s="7"/>
    </row>
    <row r="17" spans="1:7" x14ac:dyDescent="0.25">
      <c r="A17" s="5" t="s">
        <v>135</v>
      </c>
      <c r="B17" s="28">
        <f>'Bank Statement'!$E$6</f>
      </c>
      <c r="C17" s="7" t="s">
        <v>136</v>
      </c>
      <c r="D17" s="7"/>
      <c r="E17" s="7"/>
      <c r="F17" s="7"/>
      <c r="G17" s="7"/>
    </row>
    <row r="18" spans="1:1" x14ac:dyDescent="0.25">
      <c r="A18" s="2"/>
    </row>
    <row r="19" spans="1:7" x14ac:dyDescent="0.25">
      <c r="A19" s="3" t="s">
        <v>137</v>
      </c>
      <c r="B19" s="3"/>
      <c r="C19" s="3"/>
      <c r="D19" s="3"/>
      <c r="E19" s="3"/>
      <c r="F19" s="3"/>
      <c r="G19" s="3"/>
    </row>
    <row r="20" ht="30" customHeight="1" spans="1:7" x14ac:dyDescent="0.25">
      <c r="A20" s="16" t="s">
        <v>138</v>
      </c>
      <c r="B20" s="16" t="s">
        <v>139</v>
      </c>
      <c r="C20" s="16" t="s">
        <v>140</v>
      </c>
      <c r="D20" s="16" t="s">
        <v>141</v>
      </c>
      <c r="E20" s="16" t="s">
        <v>142</v>
      </c>
      <c r="F20" s="16" t="s">
        <v>143</v>
      </c>
      <c r="G20" s="16" t="s">
        <v>144</v>
      </c>
    </row>
    <row r="21" spans="1:7" x14ac:dyDescent="0.25">
      <c r="A21" s="5" t="s">
        <v>145</v>
      </c>
      <c r="B21" s="31">
        <v>0</v>
      </c>
      <c r="C21" s="31">
        <v>7</v>
      </c>
      <c r="D21" s="23">
        <f>COUNTIFS('Cash Book'!$H$6:$H$205,"&gt;="&amp;$B21,'Cash Book'!$H$6:$H$205,"&lt;="&amp;$C21,'Cash Book'!$D$6:$D$205,"&gt;0")</f>
      </c>
      <c r="E21" s="26">
        <f>SUMIFS('Cash Book'!$D$6:$D$205,'Cash Book'!$H$6:$H$205,"&gt;="&amp;$B21,'Cash Book'!$H$6:$H$205,"&lt;="&amp;$C21,'Cash Book'!$D$6:$D$205,"&gt;0")</f>
      </c>
      <c r="F21" s="23">
        <f>COUNTIFS('Cash Book'!$H$6:$H$205,"&gt;="&amp;$B21,'Cash Book'!$H$6:$H$205,"&lt;="&amp;$C21,'Cash Book'!$D$6:$D$205,"&lt;0")</f>
      </c>
      <c r="G21" s="26">
        <f>-SUMIFS('Cash Book'!$D$6:$D$205,'Cash Book'!$H$6:$H$205,"&gt;="&amp;$B21,'Cash Book'!$H$6:$H$205,"&lt;="&amp;$C21,'Cash Book'!$D$6:$D$205,"&lt;0")</f>
      </c>
    </row>
    <row r="22" spans="1:7" x14ac:dyDescent="0.25">
      <c r="A22" s="5" t="s">
        <v>146</v>
      </c>
      <c r="B22" s="31">
        <v>8</v>
      </c>
      <c r="C22" s="31">
        <v>30</v>
      </c>
      <c r="D22" s="23">
        <f>COUNTIFS('Cash Book'!$H$6:$H$205,"&gt;="&amp;$B22,'Cash Book'!$H$6:$H$205,"&lt;="&amp;$C22,'Cash Book'!$D$6:$D$205,"&gt;0")</f>
      </c>
      <c r="E22" s="26">
        <f>SUMIFS('Cash Book'!$D$6:$D$205,'Cash Book'!$H$6:$H$205,"&gt;="&amp;$B22,'Cash Book'!$H$6:$H$205,"&lt;="&amp;$C22,'Cash Book'!$D$6:$D$205,"&gt;0")</f>
      </c>
      <c r="F22" s="23">
        <f>COUNTIFS('Cash Book'!$H$6:$H$205,"&gt;="&amp;$B22,'Cash Book'!$H$6:$H$205,"&lt;="&amp;$C22,'Cash Book'!$D$6:$D$205,"&lt;0")</f>
      </c>
      <c r="G22" s="26">
        <f>-SUMIFS('Cash Book'!$D$6:$D$205,'Cash Book'!$H$6:$H$205,"&gt;="&amp;$B22,'Cash Book'!$H$6:$H$205,"&lt;="&amp;$C22,'Cash Book'!$D$6:$D$205,"&lt;0")</f>
      </c>
    </row>
    <row r="23" spans="1:7" x14ac:dyDescent="0.25">
      <c r="A23" s="5" t="s">
        <v>147</v>
      </c>
      <c r="B23" s="31">
        <v>31</v>
      </c>
      <c r="C23" s="31">
        <v>9999</v>
      </c>
      <c r="D23" s="23">
        <f>COUNTIFS('Cash Book'!$H$6:$H$205,"&gt;="&amp;$B23,'Cash Book'!$H$6:$H$205,"&lt;="&amp;$C23,'Cash Book'!$D$6:$D$205,"&gt;0")</f>
      </c>
      <c r="E23" s="26">
        <f>SUMIFS('Cash Book'!$D$6:$D$205,'Cash Book'!$H$6:$H$205,"&gt;="&amp;$B23,'Cash Book'!$H$6:$H$205,"&lt;="&amp;$C23,'Cash Book'!$D$6:$D$205,"&gt;0")</f>
      </c>
      <c r="F23" s="23">
        <f>COUNTIFS('Cash Book'!$H$6:$H$205,"&gt;="&amp;$B23,'Cash Book'!$H$6:$H$205,"&lt;="&amp;$C23,'Cash Book'!$D$6:$D$205,"&lt;0")</f>
      </c>
      <c r="G23" s="26">
        <f>-SUMIFS('Cash Book'!$D$6:$D$205,'Cash Book'!$H$6:$H$205,"&gt;="&amp;$B23,'Cash Book'!$H$6:$H$205,"&lt;="&amp;$C23,'Cash Book'!$D$6:$D$205,"&lt;0")</f>
      </c>
    </row>
    <row r="24" ht="30" customHeight="1" spans="1:7" x14ac:dyDescent="0.25">
      <c r="A24" s="4" t="s">
        <v>148</v>
      </c>
      <c r="B24" s="4"/>
      <c r="C24" s="4"/>
      <c r="D24" s="4"/>
      <c r="E24" s="4"/>
      <c r="F24" s="4"/>
      <c r="G24" s="4"/>
    </row>
    <row r="25" spans="1:1" x14ac:dyDescent="0.25">
      <c r="A25" s="2"/>
    </row>
    <row r="26" ht="30" customHeight="1" spans="1:7" x14ac:dyDescent="0.25">
      <c r="A26" s="32" t="s">
        <v>30</v>
      </c>
      <c r="B26" s="32"/>
      <c r="C26" s="32"/>
      <c r="D26" s="32"/>
      <c r="E26" s="32"/>
      <c r="F26" s="32"/>
      <c r="G26" s="32"/>
    </row>
  </sheetData>
  <mergeCells count="17">
    <mergeCell ref="A1:G1"/>
    <mergeCell ref="A5:G5"/>
    <mergeCell ref="C6:G6"/>
    <mergeCell ref="C7:G7"/>
    <mergeCell ref="C8:G8"/>
    <mergeCell ref="C9:G9"/>
    <mergeCell ref="C10:G10"/>
    <mergeCell ref="C11:G11"/>
    <mergeCell ref="C12:G12"/>
    <mergeCell ref="C13:G13"/>
    <mergeCell ref="C14:G14"/>
    <mergeCell ref="C15:G15"/>
    <mergeCell ref="C16:G16"/>
    <mergeCell ref="C17:G17"/>
    <mergeCell ref="A19:G19"/>
    <mergeCell ref="A24:G24"/>
    <mergeCell ref="A26:G26"/>
  </mergeCells>
  <conditionalFormatting sqref="B7">
    <cfRule type="cellIs" dxfId="2" priority="1" operator="equal">
      <formula>"Reconciled"</formula>
    </cfRule>
    <cfRule type="cellIs" dxfId="3" priority="2" operator="equal">
      <formula>"Not reconciled"</formula>
    </cfRule>
  </conditionalFormatting>
  <hyperlinks>
    <hyperlink ref="A26"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Bank Statement</vt:lpstr>
      <vt:lpstr>Cash Book</vt:lpstr>
      <vt:lpstr>Reconciliation</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2026-10-29T17:34:28Z</dcterms:created>
  <dcterms:modified xsi:type="dcterms:W3CDTF">2026-10-29T17:34:28Z</dcterms:modified>
</cp:coreProperties>
</file>