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tions" state="visible" r:id="rId4"/>
    <sheet sheetId="2" name="Parts" state="visible" r:id="rId5"/>
    <sheet sheetId="3" name="BOM" state="visible" r:id="rId6"/>
    <sheet sheetId="4" name="Cost Rollup" state="visible" r:id="rId7"/>
    <sheet sheetId="5" name="Buildable" state="visible" r:id="rId8"/>
    <sheet sheetId="6" name="Dashboard" state="visible" r:id="rId9"/>
  </sheets>
  <calcPr calcId="171027"/>
</workbook>
</file>

<file path=xl/sharedStrings.xml><?xml version="1.0" encoding="utf-8"?>
<sst xmlns="http://schemas.openxmlformats.org/spreadsheetml/2006/main" count="228" uniqueCount="141">
  <si>
    <t>Bill of Materials Template</t>
  </si>
  <si>
    <t>Purpose</t>
  </si>
  <si>
    <t>This workbook lists everything that goes into one finished product, from the final unit down to the last bolt. It multiplies quantities through each level of the build, rolls component prices up into a material cost per finished unit, and checks your stock to show how many units you can build and which part runs out first. Replace the synthetic sample workbench with your own product; the cost rollup, buildable counts, and dashboard recalculate automatically.</t>
  </si>
  <si>
    <t>Clean-room disclosure</t>
  </si>
  <si>
    <t>Clean-room disclosure: every formula, layout, instruction, and sample figure in this workbook was authored from scratch for Excel.TV. No vendor workbook, gated template, branding, connector behavior, or sample dataset was downloaded, inspected, mirrored, transformed, or adapted in building this file. All data shown is synthetic and for illustration only.</t>
  </si>
  <si>
    <t>What’s in this workbook</t>
  </si>
  <si>
    <t>Parts</t>
  </si>
  <si>
    <t>The parts master: part number, description, type (Finished, Sub-assembly, or Purchased), unit of measure, unit cost, quantity on hand, and supplier, plus a calculated stock value and a check that each part is used on the BOM.</t>
  </si>
  <si>
    <t>BOM</t>
  </si>
  <si>
    <t>The multi-level bill of materials. Each row names a parent and a part with its quantity per parent. The sheet calculates the level, the extended quantity per finished unit, the cost of each line, and a row check that flags a broken layout.</t>
  </si>
  <si>
    <t>Cost Rollup</t>
  </si>
  <si>
    <t>Material cost per finished unit, the cost of each sub-assembly, labor, selling price, and gross margin, with a check that the rollup agrees with the purchased-part total and that every BOM row passes its row check.</t>
  </si>
  <si>
    <t>Buildable</t>
  </si>
  <si>
    <t>Stock check. It divides on hand by quantity per finished unit, rounds down, finds the limiting part, and prices the shortfall for the build quantity you enter.</t>
  </si>
  <si>
    <t>Dashboard</t>
  </si>
  <si>
    <t>The one-page output: costs, margin, units buildable, the limiting part, top cost drivers, and the parts closest to running out.</t>
  </si>
  <si>
    <t>How to use this workbook</t>
  </si>
  <si>
    <t>1. Open Parts and replace the sample parts with your own. Give every part a unique part number and a type. Purchased parts need a unit cost and a quantity on hand; sub-assemblies and the finished product do not. Add more parts directly under the last row, down to row 101; the dropdowns on BOM pick them up.</t>
  </si>
  <si>
    <t>2. Open BOM and choose the finished product in cell B2 from the list of your part numbers. Then list each part under its parent: the parent part number, the part number, and the quantity needed per one parent. Keep every parent row above its children, and list an assembly's components once, even if the assembly is used in several places.</t>
  </si>
  <si>
    <t>3. Check the calculated columns. Level, Extended Qty, Unit Cost, the cost columns, and Row Check fill in from Parts and from the rows above. Row Check reads OK for a healthy row; "Check parent", "Duplicate line", or "Place above its parts" tell you which rule the row breaks. Copy the calculated cells down for any rows you add.</t>
  </si>
  <si>
    <t>4. Open Cost Rollup and enter your assembly labor per unit and your selling price. Confirm the rollup check reads OK.</t>
  </si>
  <si>
    <t>5. Open Buildable, enter the number of finished units you plan to build, and read off the units you can build, the limiting part, and the shortfall to buy.</t>
  </si>
  <si>
    <t>6. Review Dashboard for the headline numbers, the biggest cost drivers, and the parts closest to running out.</t>
  </si>
  <si>
    <t>Colour legend</t>
  </si>
  <si>
    <t/>
  </si>
  <si>
    <t>Input — enter or edit your own data here</t>
  </si>
  <si>
    <t>Calculated — formula-driven, please do not overwrite</t>
  </si>
  <si>
    <t>Output — key result for reporting and dashboards</t>
  </si>
  <si>
    <t>Using this workbook in Google Sheets</t>
  </si>
  <si>
    <t>To use this workbook in Google Sheets: open Google Sheets, choose File &gt; Import &gt; Upload, select this .xlsx file, and choose Insert new sheet(s). The workbook uses Google Sheets-compatible formulas only: SUM, SUMIF, SUMIFS, IF, IFERROR, INDEX, MATCH, COUNTA, COUNTIF, COUNTIFS, MIN, MAX, INT, ROUND, ABS, LARGE, SMALL, and arithmetic. Dropdown validation for part type, part numbers, and the finished product carries over during import.</t>
  </si>
  <si>
    <t>Limitations</t>
  </si>
  <si>
    <t>This template is a spreadsheet bill of materials, not an ERP or MRP system. It models one finished product at a time, has no revision control or effectivity dates, does not net finished sub-assembly stock against the build, and does not schedule purchasing or lead times. A parent row must sit above its children on the BOM sheet, because quantities flow down the sheet, and an assembly used in several places has its components listed once, below every row that uses it. Parts is read down to row 101 and BOM down to row 204. The Buildable and Dashboard lists use fixed rows sized to the sample, so copy a row down on Buildable for each purchased part you add. The top-3 lists use LARGE or SMALL plus MATCH; if two parts tie exactly, the first match is returned first.</t>
  </si>
  <si>
    <t>★ Free template from Excel.TV — get more free Excel &amp; Google Sheets templates →</t>
  </si>
  <si>
    <t>Part No</t>
  </si>
  <si>
    <t>Description</t>
  </si>
  <si>
    <t>Type</t>
  </si>
  <si>
    <t>Unit of Measure</t>
  </si>
  <si>
    <t>Unit Cost</t>
  </si>
  <si>
    <t>On Hand</t>
  </si>
  <si>
    <t>Supplier</t>
  </si>
  <si>
    <t>Stock Value</t>
  </si>
  <si>
    <t>Used on BOM?</t>
  </si>
  <si>
    <t>FG-100</t>
  </si>
  <si>
    <t>Garage Workbench Kit</t>
  </si>
  <si>
    <t>Finished</t>
  </si>
  <si>
    <t>Each</t>
  </si>
  <si>
    <t>rolled up on BOM</t>
  </si>
  <si>
    <t>Built in-house</t>
  </si>
  <si>
    <t>SA-200</t>
  </si>
  <si>
    <t>Leg Assembly</t>
  </si>
  <si>
    <t>Sub-assembly</t>
  </si>
  <si>
    <t>SA-300</t>
  </si>
  <si>
    <t>Desktop Assembly</t>
  </si>
  <si>
    <t>SA-310</t>
  </si>
  <si>
    <t>Cross Rail Assembly</t>
  </si>
  <si>
    <t>PT-210</t>
  </si>
  <si>
    <t>Steel Leg Tube, 28 in</t>
  </si>
  <si>
    <t>Purchased</t>
  </si>
  <si>
    <t>Northline Steel</t>
  </si>
  <si>
    <t>PT-220</t>
  </si>
  <si>
    <t>Rubber Foot Pad</t>
  </si>
  <si>
    <t>Cascade Hardware</t>
  </si>
  <si>
    <t>PT-230</t>
  </si>
  <si>
    <t>M8 Hex Bolt</t>
  </si>
  <si>
    <t>PT-240</t>
  </si>
  <si>
    <t>Leg Mounting Bracket</t>
  </si>
  <si>
    <t>PT-310</t>
  </si>
  <si>
    <t>Laminate Panel, 60 x 30 in</t>
  </si>
  <si>
    <t>Fraser Panel Co.</t>
  </si>
  <si>
    <t>PT-320</t>
  </si>
  <si>
    <t>Edge Banding</t>
  </si>
  <si>
    <t>Foot</t>
  </si>
  <si>
    <t>PT-330</t>
  </si>
  <si>
    <t>Wood Screw, #10</t>
  </si>
  <si>
    <t>PT-311</t>
  </si>
  <si>
    <t>Steel Rail Tube</t>
  </si>
  <si>
    <t>PT-312</t>
  </si>
  <si>
    <t>Rail End Cap</t>
  </si>
  <si>
    <t>PT-410</t>
  </si>
  <si>
    <t>Cable Grommet</t>
  </si>
  <si>
    <t>List every part under its parent. Level, Extended Qty, the cost columns, and Row Check are calculated. Keep each parent row above its children, because quantities and costs flow down this sheet, and list an assembly's components once even if the assembly is used under several parents.</t>
  </si>
  <si>
    <t>Finished Product:</t>
  </si>
  <si>
    <t>Level</t>
  </si>
  <si>
    <t>Parent Part</t>
  </si>
  <si>
    <t>Qty per Parent</t>
  </si>
  <si>
    <t>Extended Qty per Finished Unit</t>
  </si>
  <si>
    <t>Line Cost per Parent</t>
  </si>
  <si>
    <t>Extended Cost per Finished Unit</t>
  </si>
  <si>
    <t>Row Check</t>
  </si>
  <si>
    <t>Material cost is the sum of the purchased parts under the finished product, multiplied through every level. The check compares two independent routes to the same number and confirms every BOM row reads OK in its Row Check column.</t>
  </si>
  <si>
    <t>Finished product</t>
  </si>
  <si>
    <t>Material cost per finished unit</t>
  </si>
  <si>
    <t>Purchased-part total (cross-check)</t>
  </si>
  <si>
    <t>Rollup check</t>
  </si>
  <si>
    <t>Assembly labor per unit</t>
  </si>
  <si>
    <t>Total cost per finished unit</t>
  </si>
  <si>
    <t>Selling price per unit</t>
  </si>
  <si>
    <t>Gross margin per unit</t>
  </si>
  <si>
    <t>Gross margin %</t>
  </si>
  <si>
    <t>Cost of each sub-assembly</t>
  </si>
  <si>
    <t>Qty per Finished Unit</t>
  </si>
  <si>
    <t>Cost of One Assembly</t>
  </si>
  <si>
    <t>Cost in One Finished Unit</t>
  </si>
  <si>
    <t>A level 2 or deeper assembly is already counted inside its parent assembly, so do not add the last column down to get the total.</t>
  </si>
  <si>
    <t>Units Buildable = On Hand divided by Qty per Finished Unit, rounded down. The smallest result is how many finished units your stock can support, and the part that produces it is the limiting part.</t>
  </si>
  <si>
    <t>Finished units to build</t>
  </si>
  <si>
    <t>Units buildable from current stock</t>
  </si>
  <si>
    <t>Limiting part</t>
  </si>
  <si>
    <t>Cost to cover the shortfall</t>
  </si>
  <si>
    <t>Units Buildable</t>
  </si>
  <si>
    <t>Needed for Build</t>
  </si>
  <si>
    <t>Shortfall</t>
  </si>
  <si>
    <t>Shortfall Cost</t>
  </si>
  <si>
    <t>Status</t>
  </si>
  <si>
    <t>Finished product:</t>
  </si>
  <si>
    <t>Cost and build summary</t>
  </si>
  <si>
    <t>Metric</t>
  </si>
  <si>
    <t>Result</t>
  </si>
  <si>
    <t>How it is calculated</t>
  </si>
  <si>
    <t>Parts in the master list</t>
  </si>
  <si>
    <t>Count of part numbers on Parts.</t>
  </si>
  <si>
    <t>BOM lines</t>
  </si>
  <si>
    <t>Count of rows on BOM.</t>
  </si>
  <si>
    <t>Material cost per unit</t>
  </si>
  <si>
    <t>Purchased parts multiplied through every level of the BOM.</t>
  </si>
  <si>
    <t>Total cost per unit</t>
  </si>
  <si>
    <t>Material cost plus assembly labor.</t>
  </si>
  <si>
    <t>Selling price minus total cost, divided by selling price.</t>
  </si>
  <si>
    <t>Units buildable now</t>
  </si>
  <si>
    <t>The smallest Units Buildable on the Buildable sheet.</t>
  </si>
  <si>
    <t>The part that produces that smallest count.</t>
  </si>
  <si>
    <t>Shortfall cost for the planned build</t>
  </si>
  <si>
    <t>Cost to buy what is missing for the build quantity entered on Buildable.</t>
  </si>
  <si>
    <t>Stock value on hand</t>
  </si>
  <si>
    <t>Unit cost times quantity on hand for every purchased part.</t>
  </si>
  <si>
    <t>Top 3 cost drivers per finished unit</t>
  </si>
  <si>
    <t>Rank</t>
  </si>
  <si>
    <t>Part</t>
  </si>
  <si>
    <t>Extended Cost</t>
  </si>
  <si>
    <t>Share of Material Cost</t>
  </si>
  <si>
    <t>Parts closest to running out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</si>
</sst>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
    <numFmt numFmtId="166" formatCode="0.0%"/>
  </numFmts>
  <fonts count="8" x14ac:knownFonts="1">
    <font>
      <color theme="1"/>
      <family val="2"/>
      <scheme val="minor"/>
      <sz val="11"/>
      <name val="Calibri"/>
    </font>
    <font>
      <b/>
      <sz val="16"/>
    </font>
    <font>
      <b/>
      <sz val="12"/>
    </font>
    <font>
      <i/>
    </font>
    <font>
      <b/>
    </font>
    <font>
      <b/>
      <u/>
      <color rgb="FF1155CC"/>
      <sz val="13"/>
    </font>
    <font>
      <b/>
      <color rgb="FFFFFFFF"/>
    </font>
    <font>
      <b/>
      <u/>
      <color rgb="FF1155CC"/>
      <sz val="12"/>
    </font>
  </fonts>
  <fills count="6">
    <fill>
      <patternFill patternType="none"/>
    </fill>
    <fill>
      <patternFill patternType="gray125"/>
    </fill>
    <fill>
      <patternFill patternType="solid">
        <fgColor rgb="FFDCE6F1"/>
      </patternFill>
    </fill>
    <fill>
      <patternFill patternType="solid">
        <fgColor rgb="FFFFF2CC"/>
      </patternFill>
    </fill>
    <fill>
      <patternFill patternType="solid">
        <fgColor rgb="FFD9EAD3"/>
      </patternFill>
    </fill>
    <fill>
      <patternFill patternType="solid">
        <fgColor rgb="FF44546A"/>
      </patternFill>
    </fill>
  </fills>
  <borders count="2">
    <border>
      <left/>
      <right/>
      <top/>
      <bottom/>
      <diagonal/>
    </border>
    <border>
      <left style="thin">
        <color rgb="FFB7B7B7"/>
      </left>
      <right style="thin">
        <color rgb="FFB7B7B7"/>
      </right>
      <top style="thin">
        <color rgb="FFB7B7B7"/>
      </top>
      <bottom style="thin">
        <color rgb="FFB7B7B7"/>
      </bottom>
      <diagonal/>
    </border>
  </borders>
  <cellStyleXfs count="1">
    <xf numFmtId="0" fontId="0" fillId="0" borderId="0"/>
  </cellStyleXfs>
  <cellXfs count="41">
    <xf numFmtId="0" fontId="0" fillId="0" borderId="0" xfId="0"/>
    <xf numFmtId="0" fontId="1" fillId="0" borderId="0" xfId="0" applyFont="1" applyAlignment="1">
      <alignment vertical="top" wrapText="1"/>
    </xf>
    <xf numFmtId="0" fontId="0" fillId="0" borderId="0" xfId="0"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0" fillId="2" borderId="1" xfId="0" applyFill="1" applyBorder="1" applyAlignment="1">
      <alignment vertical="top" wrapText="1"/>
    </xf>
    <xf numFmtId="0" fontId="0" fillId="0" borderId="0" xfId="0" applyAlignment="1">
      <alignment vertical="center" wrapText="1"/>
    </xf>
    <xf numFmtId="0" fontId="0" fillId="3" borderId="1" xfId="0" applyFill="1" applyBorder="1" applyAlignment="1">
      <alignment vertical="top" wrapText="1"/>
    </xf>
    <xf numFmtId="0" fontId="0" fillId="4" borderId="1" xfId="0" applyFill="1" applyBorder="1" applyAlignment="1">
      <alignment vertical="top" wrapText="1"/>
    </xf>
    <xf numFmtId="0" fontId="5" fillId="4" borderId="0" xfId="0" applyFont="1" applyFill="1" applyAlignment="1">
      <alignment horizontal="center" vertical="center" wrapText="1"/>
    </xf>
    <xf numFmtId="0" fontId="6" fillId="5" borderId="1" xfId="0" applyFont="1" applyFill="1" applyBorder="1" applyAlignment="1">
      <alignment horizontal="center" vertical="center" wrapText="1"/>
    </xf>
    <xf numFmtId="0" fontId="0" fillId="2" borderId="1" xfId="0" applyFill="1" applyBorder="1" applyAlignment="1">
      <alignment horizontal="center" vertical="center"/>
    </xf>
    <xf numFmtId="0" fontId="0" fillId="2" borderId="1" xfId="0" applyFill="1" applyBorder="1" applyAlignment="1">
      <alignment horizontal="left" vertical="center" wrapText="1"/>
    </xf>
    <xf numFmtId="0" fontId="0" fillId="3" borderId="1" xfId="0" applyFill="1" applyBorder="1" applyAlignment="1">
      <alignment horizontal="center" vertical="center"/>
    </xf>
    <xf numFmtId="0" fontId="0" fillId="2" borderId="1" xfId="0" applyFill="1" applyBorder="1" applyAlignment="1">
      <alignment horizontal="left" vertical="center"/>
    </xf>
    <xf numFmtId="164" fontId="0" fillId="3" borderId="1" xfId="0" applyNumberFormat="1" applyFill="1" applyBorder="1" applyAlignment="1">
      <alignment horizontal="center" vertical="center"/>
    </xf>
    <xf numFmtId="164" fontId="0" fillId="2" borderId="1" xfId="0" applyNumberFormat="1" applyFill="1" applyBorder="1" applyAlignment="1">
      <alignment horizontal="center" vertical="center"/>
    </xf>
    <xf numFmtId="3" fontId="0" fillId="2" borderId="1" xfId="0" applyNumberFormat="1" applyFill="1" applyBorder="1" applyAlignment="1">
      <alignment horizontal="center" vertical="center"/>
    </xf>
    <xf numFmtId="0" fontId="4" fillId="0" borderId="0" xfId="0" applyFont="1"/>
    <xf numFmtId="0" fontId="4" fillId="2" borderId="1" xfId="0" applyFont="1" applyFill="1" applyBorder="1" applyAlignment="1">
      <alignment horizontal="center" vertical="center"/>
    </xf>
    <xf numFmtId="0" fontId="0" fillId="3" borderId="1" xfId="0" applyFill="1" applyBorder="1" applyAlignment="1">
      <alignment horizontal="left" vertical="center" wrapText="1"/>
    </xf>
    <xf numFmtId="165" fontId="0" fillId="2" borderId="1" xfId="0" applyNumberFormat="1" applyFill="1" applyBorder="1" applyAlignment="1">
      <alignment horizontal="center" vertical="center"/>
    </xf>
    <xf numFmtId="165" fontId="0" fillId="3" borderId="1" xfId="0" applyNumberFormat="1" applyFill="1" applyBorder="1" applyAlignment="1">
      <alignment horizontal="center" vertical="center"/>
    </xf>
    <xf numFmtId="0" fontId="0" fillId="3" borderId="1" xfId="0" applyFill="1" applyBorder="1" applyAlignment="1">
      <alignment horizontal="center" vertical="center" wrapText="1"/>
    </xf>
    <xf numFmtId="164" fontId="4" fillId="4" borderId="1" xfId="0" applyNumberFormat="1" applyFont="1" applyFill="1" applyBorder="1" applyAlignment="1">
      <alignment horizontal="center" vertical="center" wrapText="1"/>
    </xf>
    <xf numFmtId="164" fontId="0" fillId="3" borderId="1" xfId="0" applyNumberFormat="1" applyFill="1" applyBorder="1" applyAlignment="1">
      <alignment horizontal="center" vertical="center" wrapText="1"/>
    </xf>
    <xf numFmtId="164" fontId="0" fillId="2" borderId="1" xfId="0" applyNumberFormat="1" applyFill="1" applyBorder="1" applyAlignment="1">
      <alignment horizontal="center" vertical="center" wrapText="1"/>
    </xf>
    <xf numFmtId="166" fontId="4" fillId="4" borderId="1" xfId="0" applyNumberFormat="1" applyFont="1" applyFill="1" applyBorder="1" applyAlignment="1">
      <alignment horizontal="center" vertical="center" wrapText="1"/>
    </xf>
    <xf numFmtId="3" fontId="4" fillId="2" borderId="1" xfId="0" applyNumberFormat="1" applyFont="1" applyFill="1" applyBorder="1" applyAlignment="1">
      <alignment horizontal="center" vertical="center" wrapText="1"/>
    </xf>
    <xf numFmtId="3" fontId="4" fillId="4" borderId="1" xfId="0" applyNumberFormat="1" applyFont="1" applyFill="1" applyBorder="1" applyAlignment="1">
      <alignment horizontal="center" vertical="center" wrapText="1"/>
    </xf>
    <xf numFmtId="0" fontId="4" fillId="4" borderId="1" xfId="0" applyFont="1" applyFill="1" applyBorder="1" applyAlignment="1">
      <alignment horizontal="center" vertical="center" wrapText="1"/>
    </xf>
    <xf numFmtId="3" fontId="0" fillId="3" borderId="1" xfId="0" applyNumberFormat="1" applyFill="1" applyBorder="1" applyAlignment="1">
      <alignment horizontal="center" vertical="center"/>
    </xf>
    <xf numFmtId="0" fontId="4" fillId="3" borderId="1" xfId="0" applyFont="1" applyFill="1" applyBorder="1" applyAlignment="1">
      <alignment horizontal="center" vertical="center"/>
    </xf>
    <xf numFmtId="0" fontId="4" fillId="3" borderId="1" xfId="0" applyFont="1" applyFill="1" applyBorder="1" applyAlignment="1">
      <alignment horizontal="center" vertical="center" wrapText="1"/>
    </xf>
    <xf numFmtId="0" fontId="0" fillId="0" borderId="0" xfId="0" applyAlignment="1">
      <alignment horizontal="center" vertical="top" wrapText="1"/>
    </xf>
    <xf numFmtId="0" fontId="0" fillId="4" borderId="1" xfId="0" applyFill="1" applyBorder="1" applyAlignment="1">
      <alignment vertical="center" wrapText="1"/>
    </xf>
    <xf numFmtId="164" fontId="0" fillId="4" borderId="1" xfId="0" applyNumberFormat="1" applyFill="1" applyBorder="1" applyAlignment="1">
      <alignment horizontal="center" vertical="center" wrapText="1"/>
    </xf>
    <xf numFmtId="166" fontId="0" fillId="4" borderId="1" xfId="0" applyNumberFormat="1" applyFill="1" applyBorder="1" applyAlignment="1">
      <alignment horizontal="center" vertical="center" wrapText="1"/>
    </xf>
    <xf numFmtId="3" fontId="0" fillId="4" borderId="1" xfId="0" applyNumberFormat="1" applyFill="1" applyBorder="1" applyAlignment="1">
      <alignment horizontal="center" vertical="center" wrapText="1"/>
    </xf>
    <xf numFmtId="0" fontId="7" fillId="4" borderId="0" xfId="0" applyFont="1" applyFill="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excel.tv/excel-templates/?utm_source=workbook&amp;utm_medium=in-file-cta&amp;utm_campaign=bill-of-materials-template"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excel.tv/excel-templates/?utm_source=workbook&amp;utm_medium=in-file-cta&amp;utm_campaign=bill-of-materials-templat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7"/>
  <sheetViews>
    <sheetView workbookViewId="0" showGridLines="0"/>
  </sheetViews>
  <sheetFormatPr defaultRowHeight="15" outlineLevelRow="0" outlineLevelCol="0" x14ac:dyDescent="55"/>
  <cols>
    <col min="1" max="6" width="22" customWidth="1"/>
  </cols>
  <sheetData>
    <row r="1" spans="1:6" x14ac:dyDescent="0.25">
      <c r="A1" s="1" t="s">
        <v>0</v>
      </c>
      <c r="B1" s="1"/>
      <c r="C1" s="1"/>
      <c r="D1" s="1"/>
      <c r="E1" s="1"/>
      <c r="F1" s="1"/>
    </row>
    <row r="2" spans="1:6" x14ac:dyDescent="0.25">
      <c r="A2" s="2"/>
      <c r="B2" s="2"/>
      <c r="C2" s="2"/>
      <c r="D2" s="2"/>
      <c r="E2" s="2"/>
      <c r="F2" s="2"/>
    </row>
    <row r="3" spans="1:6" x14ac:dyDescent="0.25">
      <c r="A3" s="3" t="s">
        <v>1</v>
      </c>
      <c r="B3" s="3"/>
      <c r="C3" s="3"/>
      <c r="D3" s="3"/>
      <c r="E3" s="3"/>
      <c r="F3" s="3"/>
    </row>
    <row r="4" ht="60" customHeight="1" spans="1:6" x14ac:dyDescent="0.25">
      <c r="A4" s="2" t="s">
        <v>2</v>
      </c>
      <c r="B4" s="2"/>
      <c r="C4" s="2"/>
      <c r="D4" s="2"/>
      <c r="E4" s="2"/>
      <c r="F4" s="2"/>
    </row>
    <row r="5" spans="1:6" x14ac:dyDescent="0.25">
      <c r="A5" s="2"/>
      <c r="B5" s="2"/>
      <c r="C5" s="2"/>
      <c r="D5" s="2"/>
      <c r="E5" s="2"/>
      <c r="F5" s="2"/>
    </row>
    <row r="6" spans="1:6" x14ac:dyDescent="0.25">
      <c r="A6" s="3" t="s">
        <v>3</v>
      </c>
      <c r="B6" s="3"/>
      <c r="C6" s="3"/>
      <c r="D6" s="3"/>
      <c r="E6" s="3"/>
      <c r="F6" s="3"/>
    </row>
    <row r="7" ht="45" customHeight="1" spans="1:6" x14ac:dyDescent="0.25">
      <c r="A7" s="4" t="s">
        <v>4</v>
      </c>
      <c r="B7" s="4"/>
      <c r="C7" s="4"/>
      <c r="D7" s="4"/>
      <c r="E7" s="4"/>
      <c r="F7" s="4"/>
    </row>
    <row r="8" spans="1:6" x14ac:dyDescent="0.25">
      <c r="A8" s="2"/>
      <c r="B8" s="2"/>
      <c r="C8" s="2"/>
      <c r="D8" s="2"/>
      <c r="E8" s="2"/>
      <c r="F8" s="2"/>
    </row>
    <row r="9" spans="1:6" x14ac:dyDescent="0.25">
      <c r="A9" s="3" t="s">
        <v>5</v>
      </c>
      <c r="B9" s="3"/>
      <c r="C9" s="3"/>
      <c r="D9" s="3"/>
      <c r="E9" s="3"/>
      <c r="F9" s="3"/>
    </row>
    <row r="10" ht="45" customHeight="1" spans="1:6" x14ac:dyDescent="0.25">
      <c r="A10" s="5" t="s">
        <v>6</v>
      </c>
      <c r="B10" s="5"/>
      <c r="C10" s="2" t="s">
        <v>7</v>
      </c>
      <c r="D10" s="2"/>
      <c r="E10" s="2"/>
      <c r="F10" s="2"/>
    </row>
    <row r="11" ht="45" customHeight="1" spans="1:6" x14ac:dyDescent="0.25">
      <c r="A11" s="5" t="s">
        <v>8</v>
      </c>
      <c r="B11" s="5"/>
      <c r="C11" s="2" t="s">
        <v>9</v>
      </c>
      <c r="D11" s="2"/>
      <c r="E11" s="2"/>
      <c r="F11" s="2"/>
    </row>
    <row r="12" ht="45" customHeight="1" spans="1:6" x14ac:dyDescent="0.25">
      <c r="A12" s="5" t="s">
        <v>10</v>
      </c>
      <c r="B12" s="5"/>
      <c r="C12" s="2" t="s">
        <v>11</v>
      </c>
      <c r="D12" s="2"/>
      <c r="E12" s="2"/>
      <c r="F12" s="2"/>
    </row>
    <row r="13" ht="30" customHeight="1" spans="1:6" x14ac:dyDescent="0.25">
      <c r="A13" s="5" t="s">
        <v>12</v>
      </c>
      <c r="B13" s="5"/>
      <c r="C13" s="2" t="s">
        <v>13</v>
      </c>
      <c r="D13" s="2"/>
      <c r="E13" s="2"/>
      <c r="F13" s="2"/>
    </row>
    <row r="14" ht="30" customHeight="1" spans="1:6" x14ac:dyDescent="0.25">
      <c r="A14" s="5" t="s">
        <v>14</v>
      </c>
      <c r="B14" s="5"/>
      <c r="C14" s="2" t="s">
        <v>15</v>
      </c>
      <c r="D14" s="2"/>
      <c r="E14" s="2"/>
      <c r="F14" s="2"/>
    </row>
    <row r="15" spans="1:6" x14ac:dyDescent="0.25">
      <c r="A15" s="2"/>
      <c r="B15" s="2"/>
      <c r="C15" s="2"/>
      <c r="D15" s="2"/>
      <c r="E15" s="2"/>
      <c r="F15" s="2"/>
    </row>
    <row r="16" spans="1:6" x14ac:dyDescent="0.25">
      <c r="A16" s="3" t="s">
        <v>16</v>
      </c>
      <c r="B16" s="3"/>
      <c r="C16" s="3"/>
      <c r="D16" s="3"/>
      <c r="E16" s="3"/>
      <c r="F16" s="3"/>
    </row>
    <row r="17" ht="45" customHeight="1" spans="1:6" x14ac:dyDescent="0.25">
      <c r="A17" s="2" t="s">
        <v>17</v>
      </c>
      <c r="B17" s="2"/>
      <c r="C17" s="2"/>
      <c r="D17" s="2"/>
      <c r="E17" s="2"/>
      <c r="F17" s="2"/>
    </row>
    <row r="18" ht="45" customHeight="1" spans="1:6" x14ac:dyDescent="0.25">
      <c r="A18" s="2" t="s">
        <v>18</v>
      </c>
      <c r="B18" s="2"/>
      <c r="C18" s="2"/>
      <c r="D18" s="2"/>
      <c r="E18" s="2"/>
      <c r="F18" s="2"/>
    </row>
    <row r="19" ht="45" customHeight="1" spans="1:6" x14ac:dyDescent="0.25">
      <c r="A19" s="2" t="s">
        <v>19</v>
      </c>
      <c r="B19" s="2"/>
      <c r="C19" s="2"/>
      <c r="D19" s="2"/>
      <c r="E19" s="2"/>
      <c r="F19" s="2"/>
    </row>
    <row r="20" ht="30" customHeight="1" spans="1:6" x14ac:dyDescent="0.25">
      <c r="A20" s="2" t="s">
        <v>20</v>
      </c>
      <c r="B20" s="2"/>
      <c r="C20" s="2"/>
      <c r="D20" s="2"/>
      <c r="E20" s="2"/>
      <c r="F20" s="2"/>
    </row>
    <row r="21" ht="30" customHeight="1" spans="1:6" x14ac:dyDescent="0.25">
      <c r="A21" s="2" t="s">
        <v>21</v>
      </c>
      <c r="B21" s="2"/>
      <c r="C21" s="2"/>
      <c r="D21" s="2"/>
      <c r="E21" s="2"/>
      <c r="F21" s="2"/>
    </row>
    <row r="22" ht="30" customHeight="1" spans="1:6" x14ac:dyDescent="0.25">
      <c r="A22" s="2" t="s">
        <v>22</v>
      </c>
      <c r="B22" s="2"/>
      <c r="C22" s="2"/>
      <c r="D22" s="2"/>
      <c r="E22" s="2"/>
      <c r="F22" s="2"/>
    </row>
    <row r="23" spans="1:6" x14ac:dyDescent="0.25">
      <c r="A23" s="2"/>
      <c r="B23" s="2"/>
      <c r="C23" s="2"/>
      <c r="D23" s="2"/>
      <c r="E23" s="2"/>
      <c r="F23" s="2"/>
    </row>
    <row r="24" spans="1:6" x14ac:dyDescent="0.25">
      <c r="A24" s="3" t="s">
        <v>23</v>
      </c>
      <c r="B24" s="3"/>
      <c r="C24" s="3"/>
      <c r="D24" s="3"/>
      <c r="E24" s="3"/>
      <c r="F24" s="3"/>
    </row>
    <row r="25" spans="1:6" x14ac:dyDescent="0.25">
      <c r="A25" s="5" t="s">
        <v>23</v>
      </c>
      <c r="B25" s="2"/>
      <c r="C25" s="2"/>
      <c r="D25" s="2"/>
      <c r="E25" s="2"/>
      <c r="F25" s="2"/>
    </row>
    <row r="26" spans="1:6" x14ac:dyDescent="0.25">
      <c r="A26" s="6" t="s">
        <v>24</v>
      </c>
      <c r="B26" s="7" t="s">
        <v>25</v>
      </c>
      <c r="C26" s="2"/>
      <c r="D26" s="2"/>
      <c r="E26" s="2"/>
      <c r="F26" s="2"/>
    </row>
    <row r="27" spans="1:6" x14ac:dyDescent="0.25">
      <c r="A27" s="8" t="s">
        <v>24</v>
      </c>
      <c r="B27" s="7" t="s">
        <v>26</v>
      </c>
      <c r="C27" s="2"/>
      <c r="D27" s="2"/>
      <c r="E27" s="2"/>
      <c r="F27" s="2"/>
    </row>
    <row r="28" spans="1:6" x14ac:dyDescent="0.25">
      <c r="A28" s="9" t="s">
        <v>24</v>
      </c>
      <c r="B28" s="7" t="s">
        <v>27</v>
      </c>
      <c r="C28" s="2"/>
      <c r="D28" s="2"/>
      <c r="E28" s="2"/>
      <c r="F28" s="2"/>
    </row>
    <row r="29" spans="1:6" x14ac:dyDescent="0.25">
      <c r="A29" s="2"/>
      <c r="B29" s="2"/>
      <c r="C29" s="2"/>
      <c r="D29" s="2"/>
      <c r="E29" s="2"/>
      <c r="F29" s="2"/>
    </row>
    <row r="30" spans="1:6" x14ac:dyDescent="0.25">
      <c r="A30" s="3" t="s">
        <v>28</v>
      </c>
      <c r="B30" s="3"/>
      <c r="C30" s="3"/>
      <c r="D30" s="3"/>
      <c r="E30" s="3"/>
      <c r="F30" s="3"/>
    </row>
    <row r="31" ht="60" customHeight="1" spans="1:6" x14ac:dyDescent="0.25">
      <c r="A31" s="2" t="s">
        <v>29</v>
      </c>
      <c r="B31" s="2"/>
      <c r="C31" s="2"/>
      <c r="D31" s="2"/>
      <c r="E31" s="2"/>
      <c r="F31" s="2"/>
    </row>
    <row r="32" spans="1:6" x14ac:dyDescent="0.25">
      <c r="A32" s="2"/>
      <c r="B32" s="2"/>
      <c r="C32" s="2"/>
      <c r="D32" s="2"/>
      <c r="E32" s="2"/>
      <c r="F32" s="2"/>
    </row>
    <row r="33" spans="1:6" x14ac:dyDescent="0.25">
      <c r="A33" s="3" t="s">
        <v>30</v>
      </c>
      <c r="B33" s="3"/>
      <c r="C33" s="3"/>
      <c r="D33" s="3"/>
      <c r="E33" s="3"/>
      <c r="F33" s="3"/>
    </row>
    <row r="34" ht="90" customHeight="1" spans="1:6" x14ac:dyDescent="0.25">
      <c r="A34" s="2" t="s">
        <v>31</v>
      </c>
      <c r="B34" s="2"/>
      <c r="C34" s="2"/>
      <c r="D34" s="2"/>
      <c r="E34" s="2"/>
      <c r="F34" s="2"/>
    </row>
    <row r="35" spans="1:6" x14ac:dyDescent="0.25">
      <c r="A35" s="2"/>
      <c r="B35" s="2"/>
      <c r="C35" s="2"/>
      <c r="D35" s="2"/>
      <c r="E35" s="2"/>
      <c r="F35" s="2"/>
    </row>
    <row r="36" spans="1:6" x14ac:dyDescent="0.25">
      <c r="A36" s="2"/>
      <c r="B36" s="2"/>
      <c r="C36" s="2"/>
      <c r="D36" s="2"/>
      <c r="E36" s="2"/>
      <c r="F36" s="2"/>
    </row>
    <row r="37" ht="32" customHeight="1" spans="1:6" x14ac:dyDescent="0.25">
      <c r="A37" s="10" t="s">
        <v>32</v>
      </c>
      <c r="B37" s="10"/>
      <c r="C37" s="10"/>
      <c r="D37" s="10"/>
      <c r="E37" s="10"/>
      <c r="F37" s="10"/>
    </row>
  </sheetData>
  <mergeCells count="29">
    <mergeCell ref="A1:F1"/>
    <mergeCell ref="A3:F3"/>
    <mergeCell ref="A4:F4"/>
    <mergeCell ref="A6:F6"/>
    <mergeCell ref="A7:F7"/>
    <mergeCell ref="A9:F9"/>
    <mergeCell ref="A10:B10"/>
    <mergeCell ref="C10:F10"/>
    <mergeCell ref="A11:B11"/>
    <mergeCell ref="C11:F11"/>
    <mergeCell ref="A12:B12"/>
    <mergeCell ref="C12:F12"/>
    <mergeCell ref="A13:B13"/>
    <mergeCell ref="C13:F13"/>
    <mergeCell ref="A14:B14"/>
    <mergeCell ref="C14:F14"/>
    <mergeCell ref="A16:F16"/>
    <mergeCell ref="A17:F17"/>
    <mergeCell ref="A18:F18"/>
    <mergeCell ref="A19:F19"/>
    <mergeCell ref="A20:F20"/>
    <mergeCell ref="A21:F21"/>
    <mergeCell ref="A22:F22"/>
    <mergeCell ref="A24:F24"/>
    <mergeCell ref="A30:F30"/>
    <mergeCell ref="A31:F31"/>
    <mergeCell ref="A33:F33"/>
    <mergeCell ref="A34:F34"/>
    <mergeCell ref="A37:F37"/>
  </mergeCells>
  <hyperlinks>
    <hyperlink ref="A37" r:id="rId1"/>
  </hyperlink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30" customWidth="1"/>
    <col min="3" max="3" width="15" customWidth="1"/>
    <col min="4" max="4" width="14" customWidth="1"/>
    <col min="5" max="5" width="17" customWidth="1"/>
    <col min="6" max="6" width="11" customWidth="1"/>
    <col min="7" max="7" width="22" customWidth="1"/>
    <col min="8" max="8" width="13" customWidth="1"/>
    <col min="9" max="9" width="14" customWidth="1"/>
  </cols>
  <sheetData>
    <row r="1" ht="30" customHeight="1" spans="1:9" x14ac:dyDescent="0.25">
      <c r="A1" s="11" t="s">
        <v>33</v>
      </c>
      <c r="B1" s="11" t="s">
        <v>34</v>
      </c>
      <c r="C1" s="11" t="s">
        <v>35</v>
      </c>
      <c r="D1" s="11" t="s">
        <v>36</v>
      </c>
      <c r="E1" s="11" t="s">
        <v>37</v>
      </c>
      <c r="F1" s="11" t="s">
        <v>38</v>
      </c>
      <c r="G1" s="11" t="s">
        <v>39</v>
      </c>
      <c r="H1" s="11" t="s">
        <v>40</v>
      </c>
      <c r="I1" s="11" t="s">
        <v>41</v>
      </c>
    </row>
    <row r="2" spans="1:9" x14ac:dyDescent="0.25">
      <c r="A2" s="12" t="s">
        <v>42</v>
      </c>
      <c r="B2" s="13" t="s">
        <v>43</v>
      </c>
      <c r="C2" s="12" t="s">
        <v>44</v>
      </c>
      <c r="D2" s="12" t="s">
        <v>45</v>
      </c>
      <c r="E2" s="14" t="s">
        <v>46</v>
      </c>
      <c r="F2" s="14"/>
      <c r="G2" s="15" t="s">
        <v>47</v>
      </c>
      <c r="H2" s="16">
        <f>IF(C2="Purchased",E2*F2,0)</f>
      </c>
      <c r="I2" s="14">
        <f>IF(C2="Finished","Top level",IF(SUMIF(BOM!$C$5:$C$204,A2,BOM!$G$5:$G$204)&gt;0,"Yes","No"))</f>
      </c>
    </row>
    <row r="3" spans="1:9" x14ac:dyDescent="0.25">
      <c r="A3" s="12" t="s">
        <v>48</v>
      </c>
      <c r="B3" s="13" t="s">
        <v>49</v>
      </c>
      <c r="C3" s="12" t="s">
        <v>50</v>
      </c>
      <c r="D3" s="12" t="s">
        <v>45</v>
      </c>
      <c r="E3" s="14" t="s">
        <v>46</v>
      </c>
      <c r="F3" s="14"/>
      <c r="G3" s="15" t="s">
        <v>47</v>
      </c>
      <c r="H3" s="16">
        <f>IF(C3="Purchased",E3*F3,0)</f>
      </c>
      <c r="I3" s="14">
        <f>IF(C3="Finished","Top level",IF(SUMIF(BOM!$C$5:$C$204,A3,BOM!$G$5:$G$204)&gt;0,"Yes","No"))</f>
      </c>
    </row>
    <row r="4" spans="1:9" x14ac:dyDescent="0.25">
      <c r="A4" s="12" t="s">
        <v>51</v>
      </c>
      <c r="B4" s="13" t="s">
        <v>52</v>
      </c>
      <c r="C4" s="12" t="s">
        <v>50</v>
      </c>
      <c r="D4" s="12" t="s">
        <v>45</v>
      </c>
      <c r="E4" s="14" t="s">
        <v>46</v>
      </c>
      <c r="F4" s="14"/>
      <c r="G4" s="15" t="s">
        <v>47</v>
      </c>
      <c r="H4" s="16">
        <f>IF(C4="Purchased",E4*F4,0)</f>
      </c>
      <c r="I4" s="14">
        <f>IF(C4="Finished","Top level",IF(SUMIF(BOM!$C$5:$C$204,A4,BOM!$G$5:$G$204)&gt;0,"Yes","No"))</f>
      </c>
    </row>
    <row r="5" spans="1:9" x14ac:dyDescent="0.25">
      <c r="A5" s="12" t="s">
        <v>53</v>
      </c>
      <c r="B5" s="13" t="s">
        <v>54</v>
      </c>
      <c r="C5" s="12" t="s">
        <v>50</v>
      </c>
      <c r="D5" s="12" t="s">
        <v>45</v>
      </c>
      <c r="E5" s="14" t="s">
        <v>46</v>
      </c>
      <c r="F5" s="14"/>
      <c r="G5" s="15" t="s">
        <v>47</v>
      </c>
      <c r="H5" s="16">
        <f>IF(C5="Purchased",E5*F5,0)</f>
      </c>
      <c r="I5" s="14">
        <f>IF(C5="Finished","Top level",IF(SUMIF(BOM!$C$5:$C$204,A5,BOM!$G$5:$G$204)&gt;0,"Yes","No"))</f>
      </c>
    </row>
    <row r="6" spans="1:9" x14ac:dyDescent="0.25">
      <c r="A6" s="12" t="s">
        <v>55</v>
      </c>
      <c r="B6" s="13" t="s">
        <v>56</v>
      </c>
      <c r="C6" s="12" t="s">
        <v>57</v>
      </c>
      <c r="D6" s="12" t="s">
        <v>45</v>
      </c>
      <c r="E6" s="17">
        <v>6.4</v>
      </c>
      <c r="F6" s="18">
        <v>60</v>
      </c>
      <c r="G6" s="15" t="s">
        <v>58</v>
      </c>
      <c r="H6" s="16">
        <f>IF(C6="Purchased",E6*F6,0)</f>
      </c>
      <c r="I6" s="14">
        <f>IF(C6="Finished","Top level",IF(SUMIF(BOM!$C$5:$C$204,A6,BOM!$G$5:$G$204)&gt;0,"Yes","No"))</f>
      </c>
    </row>
    <row r="7" spans="1:9" x14ac:dyDescent="0.25">
      <c r="A7" s="12" t="s">
        <v>59</v>
      </c>
      <c r="B7" s="13" t="s">
        <v>60</v>
      </c>
      <c r="C7" s="12" t="s">
        <v>57</v>
      </c>
      <c r="D7" s="12" t="s">
        <v>45</v>
      </c>
      <c r="E7" s="17">
        <v>0.85</v>
      </c>
      <c r="F7" s="18">
        <v>80</v>
      </c>
      <c r="G7" s="15" t="s">
        <v>61</v>
      </c>
      <c r="H7" s="16">
        <f>IF(C7="Purchased",E7*F7,0)</f>
      </c>
      <c r="I7" s="14">
        <f>IF(C7="Finished","Top level",IF(SUMIF(BOM!$C$5:$C$204,A7,BOM!$G$5:$G$204)&gt;0,"Yes","No"))</f>
      </c>
    </row>
    <row r="8" spans="1:9" x14ac:dyDescent="0.25">
      <c r="A8" s="12" t="s">
        <v>62</v>
      </c>
      <c r="B8" s="13" t="s">
        <v>63</v>
      </c>
      <c r="C8" s="12" t="s">
        <v>57</v>
      </c>
      <c r="D8" s="12" t="s">
        <v>45</v>
      </c>
      <c r="E8" s="17">
        <v>0.25</v>
      </c>
      <c r="F8" s="18">
        <v>100</v>
      </c>
      <c r="G8" s="15" t="s">
        <v>61</v>
      </c>
      <c r="H8" s="16">
        <f>IF(C8="Purchased",E8*F8,0)</f>
      </c>
      <c r="I8" s="14">
        <f>IF(C8="Finished","Top level",IF(SUMIF(BOM!$C$5:$C$204,A8,BOM!$G$5:$G$204)&gt;0,"Yes","No"))</f>
      </c>
    </row>
    <row r="9" spans="1:9" x14ac:dyDescent="0.25">
      <c r="A9" s="12" t="s">
        <v>64</v>
      </c>
      <c r="B9" s="13" t="s">
        <v>65</v>
      </c>
      <c r="C9" s="12" t="s">
        <v>57</v>
      </c>
      <c r="D9" s="12" t="s">
        <v>45</v>
      </c>
      <c r="E9" s="17">
        <v>2.1</v>
      </c>
      <c r="F9" s="18">
        <v>44</v>
      </c>
      <c r="G9" s="15" t="s">
        <v>58</v>
      </c>
      <c r="H9" s="16">
        <f>IF(C9="Purchased",E9*F9,0)</f>
      </c>
      <c r="I9" s="14">
        <f>IF(C9="Finished","Top level",IF(SUMIF(BOM!$C$5:$C$204,A9,BOM!$G$5:$G$204)&gt;0,"Yes","No"))</f>
      </c>
    </row>
    <row r="10" spans="1:9" x14ac:dyDescent="0.25">
      <c r="A10" s="12" t="s">
        <v>66</v>
      </c>
      <c r="B10" s="13" t="s">
        <v>67</v>
      </c>
      <c r="C10" s="12" t="s">
        <v>57</v>
      </c>
      <c r="D10" s="12" t="s">
        <v>45</v>
      </c>
      <c r="E10" s="17">
        <v>38</v>
      </c>
      <c r="F10" s="18">
        <v>16</v>
      </c>
      <c r="G10" s="15" t="s">
        <v>68</v>
      </c>
      <c r="H10" s="16">
        <f>IF(C10="Purchased",E10*F10,0)</f>
      </c>
      <c r="I10" s="14">
        <f>IF(C10="Finished","Top level",IF(SUMIF(BOM!$C$5:$C$204,A10,BOM!$G$5:$G$204)&gt;0,"Yes","No"))</f>
      </c>
    </row>
    <row r="11" spans="1:9" x14ac:dyDescent="0.25">
      <c r="A11" s="12" t="s">
        <v>69</v>
      </c>
      <c r="B11" s="13" t="s">
        <v>70</v>
      </c>
      <c r="C11" s="12" t="s">
        <v>57</v>
      </c>
      <c r="D11" s="12" t="s">
        <v>71</v>
      </c>
      <c r="E11" s="17">
        <v>0.12</v>
      </c>
      <c r="F11" s="18">
        <v>400</v>
      </c>
      <c r="G11" s="15" t="s">
        <v>68</v>
      </c>
      <c r="H11" s="16">
        <f>IF(C11="Purchased",E11*F11,0)</f>
      </c>
      <c r="I11" s="14">
        <f>IF(C11="Finished","Top level",IF(SUMIF(BOM!$C$5:$C$204,A11,BOM!$G$5:$G$204)&gt;0,"Yes","No"))</f>
      </c>
    </row>
    <row r="12" spans="1:9" x14ac:dyDescent="0.25">
      <c r="A12" s="12" t="s">
        <v>72</v>
      </c>
      <c r="B12" s="13" t="s">
        <v>73</v>
      </c>
      <c r="C12" s="12" t="s">
        <v>57</v>
      </c>
      <c r="D12" s="12" t="s">
        <v>45</v>
      </c>
      <c r="E12" s="17">
        <v>0.04</v>
      </c>
      <c r="F12" s="18">
        <v>300</v>
      </c>
      <c r="G12" s="15" t="s">
        <v>61</v>
      </c>
      <c r="H12" s="16">
        <f>IF(C12="Purchased",E12*F12,0)</f>
      </c>
      <c r="I12" s="14">
        <f>IF(C12="Finished","Top level",IF(SUMIF(BOM!$C$5:$C$204,A12,BOM!$G$5:$G$204)&gt;0,"Yes","No"))</f>
      </c>
    </row>
    <row r="13" spans="1:9" x14ac:dyDescent="0.25">
      <c r="A13" s="12" t="s">
        <v>74</v>
      </c>
      <c r="B13" s="13" t="s">
        <v>75</v>
      </c>
      <c r="C13" s="12" t="s">
        <v>57</v>
      </c>
      <c r="D13" s="12" t="s">
        <v>45</v>
      </c>
      <c r="E13" s="17">
        <v>3.2</v>
      </c>
      <c r="F13" s="18">
        <v>50</v>
      </c>
      <c r="G13" s="15" t="s">
        <v>58</v>
      </c>
      <c r="H13" s="16">
        <f>IF(C13="Purchased",E13*F13,0)</f>
      </c>
      <c r="I13" s="14">
        <f>IF(C13="Finished","Top level",IF(SUMIF(BOM!$C$5:$C$204,A13,BOM!$G$5:$G$204)&gt;0,"Yes","No"))</f>
      </c>
    </row>
    <row r="14" spans="1:9" x14ac:dyDescent="0.25">
      <c r="A14" s="12" t="s">
        <v>76</v>
      </c>
      <c r="B14" s="13" t="s">
        <v>77</v>
      </c>
      <c r="C14" s="12" t="s">
        <v>57</v>
      </c>
      <c r="D14" s="12" t="s">
        <v>45</v>
      </c>
      <c r="E14" s="17">
        <v>0.3</v>
      </c>
      <c r="F14" s="18">
        <v>120</v>
      </c>
      <c r="G14" s="15" t="s">
        <v>61</v>
      </c>
      <c r="H14" s="16">
        <f>IF(C14="Purchased",E14*F14,0)</f>
      </c>
      <c r="I14" s="14">
        <f>IF(C14="Finished","Top level",IF(SUMIF(BOM!$C$5:$C$204,A14,BOM!$G$5:$G$204)&gt;0,"Yes","No"))</f>
      </c>
    </row>
    <row r="15" spans="1:9" x14ac:dyDescent="0.25">
      <c r="A15" s="12" t="s">
        <v>78</v>
      </c>
      <c r="B15" s="13" t="s">
        <v>79</v>
      </c>
      <c r="C15" s="12" t="s">
        <v>57</v>
      </c>
      <c r="D15" s="12" t="s">
        <v>45</v>
      </c>
      <c r="E15" s="17">
        <v>0.9</v>
      </c>
      <c r="F15" s="18">
        <v>40</v>
      </c>
      <c r="G15" s="15" t="s">
        <v>61</v>
      </c>
      <c r="H15" s="16">
        <f>IF(C15="Purchased",E15*F15,0)</f>
      </c>
      <c r="I15" s="14">
        <f>IF(C15="Finished","Top level",IF(SUMIF(BOM!$C$5:$C$204,A15,BOM!$G$5:$G$204)&gt;0,"Yes","No"))</f>
      </c>
    </row>
  </sheetData>
  <dataValidations count="9">
    <dataValidation type="list" showErrorMessage="1" errorTitle="Invalid part type" error="Choose one of: Finished, Sub-assembly, Purchased" sqref="C10:C15">
      <formula1>"Finished,Sub-assembly,Purchased"</formula1>
    </dataValidation>
    <dataValidation type="list" allowBlank="1" showErrorMessage="1" errorTitle="Invalid part type" error="Choose one of: Finished, Sub-assembly, Purchased" sqref="C16:C101">
      <formula1>"Finished,Sub-assembly,Purchased"</formula1>
    </dataValidation>
    <dataValidation type="list" showErrorMessage="1" errorTitle="Invalid part type" error="Choose one of: Finished, Sub-assembly, Purchased" sqref="C2:C15">
      <formula1>"Finished,Sub-assembly,Purchased"</formula1>
    </dataValidation>
    <dataValidation type="decimal" allowBlank="1" showErrorMessage="1" errorTitle="Invalid unit cost" error="Enter a number between 0 and 1000000" sqref="E10:E15">
      <formula1>0</formula1>
      <formula2>1000000</formula2>
    </dataValidation>
    <dataValidation type="decimal" allowBlank="1" showErrorMessage="1" errorTitle="Invalid unit cost" error="Enter a number between 0 and 1000000" sqref="E16:E101">
      <formula1>0</formula1>
      <formula2>1000000</formula2>
    </dataValidation>
    <dataValidation type="decimal" allowBlank="1" showErrorMessage="1" errorTitle="Invalid unit cost" error="Enter a number between 0 and 1000000" sqref="E6:E15">
      <formula1>0</formula1>
      <formula2>1000000</formula2>
    </dataValidation>
    <dataValidation type="decimal" allowBlank="1" showErrorMessage="1" errorTitle="Invalid quantity on hand" error="Enter a number between 0 and 100000000" sqref="F10:F15">
      <formula1>0</formula1>
      <formula2>100000000</formula2>
    </dataValidation>
    <dataValidation type="decimal" allowBlank="1" showErrorMessage="1" errorTitle="Invalid quantity on hand" error="Enter a number between 0 and 100000000" sqref="F16:F101">
      <formula1>0</formula1>
      <formula2>100000000</formula2>
    </dataValidation>
    <dataValidation type="decimal" allowBlank="1" showErrorMessage="1" errorTitle="Invalid quantity on hand" error="Enter a number between 0 and 100000000" sqref="F6:F15">
      <formula1>0</formula1>
      <formula2>100000000</formula2>
    </dataValidation>
  </dataValidation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workbookViewId="0">
      <pane ySplit="4" topLeftCell="A5" activePane="bottomLeft" state="frozen"/>
      <selection pane="bottomLeft"/>
    </sheetView>
  </sheetViews>
  <sheetFormatPr defaultRowHeight="15" outlineLevelRow="0" outlineLevelCol="0" x14ac:dyDescent="55"/>
  <cols>
    <col min="1" max="1" width="18" customWidth="1"/>
    <col min="2" max="2" width="13" customWidth="1"/>
    <col min="3" max="3" width="12" customWidth="1"/>
    <col min="4" max="4" width="28" customWidth="1"/>
    <col min="5" max="5" width="14" customWidth="1"/>
    <col min="6" max="6" width="12" customWidth="1"/>
    <col min="7" max="7" width="11" customWidth="1"/>
    <col min="8" max="8" width="16" customWidth="1"/>
    <col min="9" max="9" width="12" customWidth="1"/>
    <col min="10" max="10" width="14" customWidth="1"/>
    <col min="11" max="11" width="17" customWidth="1"/>
    <col min="12" max="12" width="20" customWidth="1"/>
  </cols>
  <sheetData>
    <row r="1" ht="45" customHeight="1" spans="1:12" x14ac:dyDescent="0.25">
      <c r="A1" s="2" t="s">
        <v>80</v>
      </c>
      <c r="B1" s="2"/>
      <c r="C1" s="2"/>
      <c r="D1" s="2"/>
      <c r="E1" s="2"/>
      <c r="F1" s="2"/>
      <c r="G1" s="2"/>
      <c r="H1" s="2"/>
      <c r="I1" s="2"/>
      <c r="J1" s="2"/>
      <c r="K1" s="2"/>
      <c r="L1" s="2"/>
    </row>
    <row r="2" spans="1:5" x14ac:dyDescent="0.25">
      <c r="A2" s="19" t="s">
        <v>81</v>
      </c>
      <c r="B2" s="20" t="s">
        <v>42</v>
      </c>
      <c r="C2" s="21">
        <f>IFERROR(INDEX(Parts!$B$2:$B$101,MATCH($B$2,Parts!$A$2:$A$101,0)),"(unknown part)")</f>
      </c>
      <c r="D2" s="21"/>
      <c r="E2" s="21"/>
    </row>
    <row r="3" spans="4:4" x14ac:dyDescent="0.25">
      <c r="D3" s="2"/>
    </row>
    <row r="4" ht="45" customHeight="1" spans="1:12" x14ac:dyDescent="0.25">
      <c r="A4" s="11" t="s">
        <v>82</v>
      </c>
      <c r="B4" s="11" t="s">
        <v>83</v>
      </c>
      <c r="C4" s="11" t="s">
        <v>33</v>
      </c>
      <c r="D4" s="11" t="s">
        <v>34</v>
      </c>
      <c r="E4" s="11" t="s">
        <v>35</v>
      </c>
      <c r="F4" s="11" t="s">
        <v>36</v>
      </c>
      <c r="G4" s="11" t="s">
        <v>84</v>
      </c>
      <c r="H4" s="11" t="s">
        <v>85</v>
      </c>
      <c r="I4" s="11" t="s">
        <v>37</v>
      </c>
      <c r="J4" s="11" t="s">
        <v>86</v>
      </c>
      <c r="K4" s="11" t="s">
        <v>87</v>
      </c>
      <c r="L4" s="11" t="s">
        <v>88</v>
      </c>
    </row>
    <row r="5" spans="1:12" x14ac:dyDescent="0.25">
      <c r="A5" s="14">
        <f>IF(B5=$B$2,1,IFERROR(INDEX($A$4:A4,MATCH(B5,$C$4:C4,0))+1,"check parent"))</f>
      </c>
      <c r="B5" s="12" t="s">
        <v>42</v>
      </c>
      <c r="C5" s="12" t="s">
        <v>48</v>
      </c>
      <c r="D5" s="21">
        <f>IFERROR(INDEX(Parts!$B$2:$B$101,MATCH($C5,Parts!$A$2:$A$101,0)),"(unknown part)")</f>
      </c>
      <c r="E5" s="14">
        <f>IFERROR(INDEX(Parts!$C$2:$C$101,MATCH($C5,Parts!$A$2:$A$101,0)),"(unknown part)")</f>
      </c>
      <c r="F5" s="14">
        <f>IFERROR(INDEX(Parts!$D$2:$D$101,MATCH($C5,Parts!$A$2:$A$101,0)),"")</f>
      </c>
      <c r="G5" s="22">
        <v>2</v>
      </c>
      <c r="H5" s="23">
        <f>IF(A5=1,G5,G5*SUMIFS($H$4:H4,$C$4:C4,B5))</f>
      </c>
      <c r="I5" s="16">
        <f>IF(E5="Purchased",IFERROR(INDEX(Parts!$E$2:$E$101,MATCH($C5,Parts!$A$2:$A$101,0)),0),SUMIFS($J6:$J$204,$B6:$B$204,$C5))</f>
      </c>
      <c r="J5" s="16">
        <f>G5*I5</f>
      </c>
      <c r="K5" s="16">
        <f>IF(E5="Purchased",H5*I5,0)</f>
      </c>
      <c r="L5" s="14">
        <f>IF(C5="","",IF(COUNTIFS($B$5:$B$204,B5,$C$5:$C$204,C5)&gt;1,"Duplicate line",IF(COUNTIF($B$4:B4,C5)&gt;0,"Place above its parts",IF(ISNUMBER(A5),"OK","Check parent"))))</f>
      </c>
    </row>
    <row r="6" spans="1:12" x14ac:dyDescent="0.25">
      <c r="A6" s="14">
        <f>IF(B6=$B$2,1,IFERROR(INDEX($A$4:A5,MATCH(B6,$C$4:C5,0))+1,"check parent"))</f>
      </c>
      <c r="B6" s="12" t="s">
        <v>48</v>
      </c>
      <c r="C6" s="12" t="s">
        <v>55</v>
      </c>
      <c r="D6" s="21">
        <f>IFERROR(INDEX(Parts!$B$2:$B$101,MATCH($C6,Parts!$A$2:$A$101,0)),"(unknown part)")</f>
      </c>
      <c r="E6" s="14">
        <f>IFERROR(INDEX(Parts!$C$2:$C$101,MATCH($C6,Parts!$A$2:$A$101,0)),"(unknown part)")</f>
      </c>
      <c r="F6" s="14">
        <f>IFERROR(INDEX(Parts!$D$2:$D$101,MATCH($C6,Parts!$A$2:$A$101,0)),"")</f>
      </c>
      <c r="G6" s="22">
        <v>1</v>
      </c>
      <c r="H6" s="23">
        <f>IF(A6=1,G6,G6*SUMIFS($H$4:H5,$C$4:C5,B6))</f>
      </c>
      <c r="I6" s="16">
        <f>IF(E6="Purchased",IFERROR(INDEX(Parts!$E$2:$E$101,MATCH($C6,Parts!$A$2:$A$101,0)),0),SUMIFS($J7:$J$204,$B7:$B$204,$C6))</f>
      </c>
      <c r="J6" s="16">
        <f>G6*I6</f>
      </c>
      <c r="K6" s="16">
        <f>IF(E6="Purchased",H6*I6,0)</f>
      </c>
      <c r="L6" s="14">
        <f>IF(C6="","",IF(COUNTIFS($B$5:$B$204,B6,$C$5:$C$204,C6)&gt;1,"Duplicate line",IF(COUNTIF($B$4:B5,C6)&gt;0,"Place above its parts",IF(ISNUMBER(A6),"OK","Check parent"))))</f>
      </c>
    </row>
    <row r="7" spans="1:12" x14ac:dyDescent="0.25">
      <c r="A7" s="14">
        <f>IF(B7=$B$2,1,IFERROR(INDEX($A$4:A6,MATCH(B7,$C$4:C6,0))+1,"check parent"))</f>
      </c>
      <c r="B7" s="12" t="s">
        <v>48</v>
      </c>
      <c r="C7" s="12" t="s">
        <v>59</v>
      </c>
      <c r="D7" s="21">
        <f>IFERROR(INDEX(Parts!$B$2:$B$101,MATCH($C7,Parts!$A$2:$A$101,0)),"(unknown part)")</f>
      </c>
      <c r="E7" s="14">
        <f>IFERROR(INDEX(Parts!$C$2:$C$101,MATCH($C7,Parts!$A$2:$A$101,0)),"(unknown part)")</f>
      </c>
      <c r="F7" s="14">
        <f>IFERROR(INDEX(Parts!$D$2:$D$101,MATCH($C7,Parts!$A$2:$A$101,0)),"")</f>
      </c>
      <c r="G7" s="22">
        <v>1</v>
      </c>
      <c r="H7" s="23">
        <f>IF(A7=1,G7,G7*SUMIFS($H$4:H6,$C$4:C6,B7))</f>
      </c>
      <c r="I7" s="16">
        <f>IF(E7="Purchased",IFERROR(INDEX(Parts!$E$2:$E$101,MATCH($C7,Parts!$A$2:$A$101,0)),0),SUMIFS($J8:$J$204,$B8:$B$204,$C7))</f>
      </c>
      <c r="J7" s="16">
        <f>G7*I7</f>
      </c>
      <c r="K7" s="16">
        <f>IF(E7="Purchased",H7*I7,0)</f>
      </c>
      <c r="L7" s="14">
        <f>IF(C7="","",IF(COUNTIFS($B$5:$B$204,B7,$C$5:$C$204,C7)&gt;1,"Duplicate line",IF(COUNTIF($B$4:B6,C7)&gt;0,"Place above its parts",IF(ISNUMBER(A7),"OK","Check parent"))))</f>
      </c>
    </row>
    <row r="8" spans="1:12" x14ac:dyDescent="0.25">
      <c r="A8" s="14">
        <f>IF(B8=$B$2,1,IFERROR(INDEX($A$4:A7,MATCH(B8,$C$4:C7,0))+1,"check parent"))</f>
      </c>
      <c r="B8" s="12" t="s">
        <v>48</v>
      </c>
      <c r="C8" s="12" t="s">
        <v>62</v>
      </c>
      <c r="D8" s="21">
        <f>IFERROR(INDEX(Parts!$B$2:$B$101,MATCH($C8,Parts!$A$2:$A$101,0)),"(unknown part)")</f>
      </c>
      <c r="E8" s="14">
        <f>IFERROR(INDEX(Parts!$C$2:$C$101,MATCH($C8,Parts!$A$2:$A$101,0)),"(unknown part)")</f>
      </c>
      <c r="F8" s="14">
        <f>IFERROR(INDEX(Parts!$D$2:$D$101,MATCH($C8,Parts!$A$2:$A$101,0)),"")</f>
      </c>
      <c r="G8" s="22">
        <v>4</v>
      </c>
      <c r="H8" s="23">
        <f>IF(A8=1,G8,G8*SUMIFS($H$4:H7,$C$4:C7,B8))</f>
      </c>
      <c r="I8" s="16">
        <f>IF(E8="Purchased",IFERROR(INDEX(Parts!$E$2:$E$101,MATCH($C8,Parts!$A$2:$A$101,0)),0),SUMIFS($J9:$J$204,$B9:$B$204,$C8))</f>
      </c>
      <c r="J8" s="16">
        <f>G8*I8</f>
      </c>
      <c r="K8" s="16">
        <f>IF(E8="Purchased",H8*I8,0)</f>
      </c>
      <c r="L8" s="14">
        <f>IF(C8="","",IF(COUNTIFS($B$5:$B$204,B8,$C$5:$C$204,C8)&gt;1,"Duplicate line",IF(COUNTIF($B$4:B7,C8)&gt;0,"Place above its parts",IF(ISNUMBER(A8),"OK","Check parent"))))</f>
      </c>
    </row>
    <row r="9" spans="1:12" x14ac:dyDescent="0.25">
      <c r="A9" s="14">
        <f>IF(B9=$B$2,1,IFERROR(INDEX($A$4:A8,MATCH(B9,$C$4:C8,0))+1,"check parent"))</f>
      </c>
      <c r="B9" s="12" t="s">
        <v>48</v>
      </c>
      <c r="C9" s="12" t="s">
        <v>64</v>
      </c>
      <c r="D9" s="21">
        <f>IFERROR(INDEX(Parts!$B$2:$B$101,MATCH($C9,Parts!$A$2:$A$101,0)),"(unknown part)")</f>
      </c>
      <c r="E9" s="14">
        <f>IFERROR(INDEX(Parts!$C$2:$C$101,MATCH($C9,Parts!$A$2:$A$101,0)),"(unknown part)")</f>
      </c>
      <c r="F9" s="14">
        <f>IFERROR(INDEX(Parts!$D$2:$D$101,MATCH($C9,Parts!$A$2:$A$101,0)),"")</f>
      </c>
      <c r="G9" s="22">
        <v>1</v>
      </c>
      <c r="H9" s="23">
        <f>IF(A9=1,G9,G9*SUMIFS($H$4:H8,$C$4:C8,B9))</f>
      </c>
      <c r="I9" s="16">
        <f>IF(E9="Purchased",IFERROR(INDEX(Parts!$E$2:$E$101,MATCH($C9,Parts!$A$2:$A$101,0)),0),SUMIFS($J10:$J$204,$B10:$B$204,$C9))</f>
      </c>
      <c r="J9" s="16">
        <f>G9*I9</f>
      </c>
      <c r="K9" s="16">
        <f>IF(E9="Purchased",H9*I9,0)</f>
      </c>
      <c r="L9" s="14">
        <f>IF(C9="","",IF(COUNTIFS($B$5:$B$204,B9,$C$5:$C$204,C9)&gt;1,"Duplicate line",IF(COUNTIF($B$4:B8,C9)&gt;0,"Place above its parts",IF(ISNUMBER(A9),"OK","Check parent"))))</f>
      </c>
    </row>
    <row r="10" spans="1:12" x14ac:dyDescent="0.25">
      <c r="A10" s="14">
        <f>IF(B10=$B$2,1,IFERROR(INDEX($A$4:A9,MATCH(B10,$C$4:C9,0))+1,"check parent"))</f>
      </c>
      <c r="B10" s="12" t="s">
        <v>42</v>
      </c>
      <c r="C10" s="12" t="s">
        <v>51</v>
      </c>
      <c r="D10" s="21">
        <f>IFERROR(INDEX(Parts!$B$2:$B$101,MATCH($C10,Parts!$A$2:$A$101,0)),"(unknown part)")</f>
      </c>
      <c r="E10" s="14">
        <f>IFERROR(INDEX(Parts!$C$2:$C$101,MATCH($C10,Parts!$A$2:$A$101,0)),"(unknown part)")</f>
      </c>
      <c r="F10" s="14">
        <f>IFERROR(INDEX(Parts!$D$2:$D$101,MATCH($C10,Parts!$A$2:$A$101,0)),"")</f>
      </c>
      <c r="G10" s="22">
        <v>1</v>
      </c>
      <c r="H10" s="23">
        <f>IF(A10=1,G10,G10*SUMIFS($H$4:H9,$C$4:C9,B10))</f>
      </c>
      <c r="I10" s="16">
        <f>IF(E10="Purchased",IFERROR(INDEX(Parts!$E$2:$E$101,MATCH($C10,Parts!$A$2:$A$101,0)),0),SUMIFS($J11:$J$204,$B11:$B$204,$C10))</f>
      </c>
      <c r="J10" s="16">
        <f>G10*I10</f>
      </c>
      <c r="K10" s="16">
        <f>IF(E10="Purchased",H10*I10,0)</f>
      </c>
      <c r="L10" s="14">
        <f>IF(C10="","",IF(COUNTIFS($B$5:$B$204,B10,$C$5:$C$204,C10)&gt;1,"Duplicate line",IF(COUNTIF($B$4:B9,C10)&gt;0,"Place above its parts",IF(ISNUMBER(A10),"OK","Check parent"))))</f>
      </c>
    </row>
    <row r="11" spans="1:12" x14ac:dyDescent="0.25">
      <c r="A11" s="14">
        <f>IF(B11=$B$2,1,IFERROR(INDEX($A$4:A10,MATCH(B11,$C$4:C10,0))+1,"check parent"))</f>
      </c>
      <c r="B11" s="12" t="s">
        <v>51</v>
      </c>
      <c r="C11" s="12" t="s">
        <v>66</v>
      </c>
      <c r="D11" s="21">
        <f>IFERROR(INDEX(Parts!$B$2:$B$101,MATCH($C11,Parts!$A$2:$A$101,0)),"(unknown part)")</f>
      </c>
      <c r="E11" s="14">
        <f>IFERROR(INDEX(Parts!$C$2:$C$101,MATCH($C11,Parts!$A$2:$A$101,0)),"(unknown part)")</f>
      </c>
      <c r="F11" s="14">
        <f>IFERROR(INDEX(Parts!$D$2:$D$101,MATCH($C11,Parts!$A$2:$A$101,0)),"")</f>
      </c>
      <c r="G11" s="22">
        <v>1</v>
      </c>
      <c r="H11" s="23">
        <f>IF(A11=1,G11,G11*SUMIFS($H$4:H10,$C$4:C10,B11))</f>
      </c>
      <c r="I11" s="16">
        <f>IF(E11="Purchased",IFERROR(INDEX(Parts!$E$2:$E$101,MATCH($C11,Parts!$A$2:$A$101,0)),0),SUMIFS($J12:$J$204,$B12:$B$204,$C11))</f>
      </c>
      <c r="J11" s="16">
        <f>G11*I11</f>
      </c>
      <c r="K11" s="16">
        <f>IF(E11="Purchased",H11*I11,0)</f>
      </c>
      <c r="L11" s="14">
        <f>IF(C11="","",IF(COUNTIFS($B$5:$B$204,B11,$C$5:$C$204,C11)&gt;1,"Duplicate line",IF(COUNTIF($B$4:B10,C11)&gt;0,"Place above its parts",IF(ISNUMBER(A11),"OK","Check parent"))))</f>
      </c>
    </row>
    <row r="12" spans="1:12" x14ac:dyDescent="0.25">
      <c r="A12" s="14">
        <f>IF(B12=$B$2,1,IFERROR(INDEX($A$4:A11,MATCH(B12,$C$4:C11,0))+1,"check parent"))</f>
      </c>
      <c r="B12" s="12" t="s">
        <v>51</v>
      </c>
      <c r="C12" s="12" t="s">
        <v>69</v>
      </c>
      <c r="D12" s="21">
        <f>IFERROR(INDEX(Parts!$B$2:$B$101,MATCH($C12,Parts!$A$2:$A$101,0)),"(unknown part)")</f>
      </c>
      <c r="E12" s="14">
        <f>IFERROR(INDEX(Parts!$C$2:$C$101,MATCH($C12,Parts!$A$2:$A$101,0)),"(unknown part)")</f>
      </c>
      <c r="F12" s="14">
        <f>IFERROR(INDEX(Parts!$D$2:$D$101,MATCH($C12,Parts!$A$2:$A$101,0)),"")</f>
      </c>
      <c r="G12" s="22">
        <v>16</v>
      </c>
      <c r="H12" s="23">
        <f>IF(A12=1,G12,G12*SUMIFS($H$4:H11,$C$4:C11,B12))</f>
      </c>
      <c r="I12" s="16">
        <f>IF(E12="Purchased",IFERROR(INDEX(Parts!$E$2:$E$101,MATCH($C12,Parts!$A$2:$A$101,0)),0),SUMIFS($J13:$J$204,$B13:$B$204,$C12))</f>
      </c>
      <c r="J12" s="16">
        <f>G12*I12</f>
      </c>
      <c r="K12" s="16">
        <f>IF(E12="Purchased",H12*I12,0)</f>
      </c>
      <c r="L12" s="14">
        <f>IF(C12="","",IF(COUNTIFS($B$5:$B$204,B12,$C$5:$C$204,C12)&gt;1,"Duplicate line",IF(COUNTIF($B$4:B11,C12)&gt;0,"Place above its parts",IF(ISNUMBER(A12),"OK","Check parent"))))</f>
      </c>
    </row>
    <row r="13" spans="1:12" x14ac:dyDescent="0.25">
      <c r="A13" s="14">
        <f>IF(B13=$B$2,1,IFERROR(INDEX($A$4:A12,MATCH(B13,$C$4:C12,0))+1,"check parent"))</f>
      </c>
      <c r="B13" s="12" t="s">
        <v>51</v>
      </c>
      <c r="C13" s="12" t="s">
        <v>72</v>
      </c>
      <c r="D13" s="21">
        <f>IFERROR(INDEX(Parts!$B$2:$B$101,MATCH($C13,Parts!$A$2:$A$101,0)),"(unknown part)")</f>
      </c>
      <c r="E13" s="14">
        <f>IFERROR(INDEX(Parts!$C$2:$C$101,MATCH($C13,Parts!$A$2:$A$101,0)),"(unknown part)")</f>
      </c>
      <c r="F13" s="14">
        <f>IFERROR(INDEX(Parts!$D$2:$D$101,MATCH($C13,Parts!$A$2:$A$101,0)),"")</f>
      </c>
      <c r="G13" s="22">
        <v>12</v>
      </c>
      <c r="H13" s="23">
        <f>IF(A13=1,G13,G13*SUMIFS($H$4:H12,$C$4:C12,B13))</f>
      </c>
      <c r="I13" s="16">
        <f>IF(E13="Purchased",IFERROR(INDEX(Parts!$E$2:$E$101,MATCH($C13,Parts!$A$2:$A$101,0)),0),SUMIFS($J14:$J$204,$B14:$B$204,$C13))</f>
      </c>
      <c r="J13" s="16">
        <f>G13*I13</f>
      </c>
      <c r="K13" s="16">
        <f>IF(E13="Purchased",H13*I13,0)</f>
      </c>
      <c r="L13" s="14">
        <f>IF(C13="","",IF(COUNTIFS($B$5:$B$204,B13,$C$5:$C$204,C13)&gt;1,"Duplicate line",IF(COUNTIF($B$4:B12,C13)&gt;0,"Place above its parts",IF(ISNUMBER(A13),"OK","Check parent"))))</f>
      </c>
    </row>
    <row r="14" spans="1:12" x14ac:dyDescent="0.25">
      <c r="A14" s="14">
        <f>IF(B14=$B$2,1,IFERROR(INDEX($A$4:A13,MATCH(B14,$C$4:C13,0))+1,"check parent"))</f>
      </c>
      <c r="B14" s="12" t="s">
        <v>51</v>
      </c>
      <c r="C14" s="12" t="s">
        <v>53</v>
      </c>
      <c r="D14" s="21">
        <f>IFERROR(INDEX(Parts!$B$2:$B$101,MATCH($C14,Parts!$A$2:$A$101,0)),"(unknown part)")</f>
      </c>
      <c r="E14" s="14">
        <f>IFERROR(INDEX(Parts!$C$2:$C$101,MATCH($C14,Parts!$A$2:$A$101,0)),"(unknown part)")</f>
      </c>
      <c r="F14" s="14">
        <f>IFERROR(INDEX(Parts!$D$2:$D$101,MATCH($C14,Parts!$A$2:$A$101,0)),"")</f>
      </c>
      <c r="G14" s="22">
        <v>2</v>
      </c>
      <c r="H14" s="23">
        <f>IF(A14=1,G14,G14*SUMIFS($H$4:H13,$C$4:C13,B14))</f>
      </c>
      <c r="I14" s="16">
        <f>IF(E14="Purchased",IFERROR(INDEX(Parts!$E$2:$E$101,MATCH($C14,Parts!$A$2:$A$101,0)),0),SUMIFS($J15:$J$204,$B15:$B$204,$C14))</f>
      </c>
      <c r="J14" s="16">
        <f>G14*I14</f>
      </c>
      <c r="K14" s="16">
        <f>IF(E14="Purchased",H14*I14,0)</f>
      </c>
      <c r="L14" s="14">
        <f>IF(C14="","",IF(COUNTIFS($B$5:$B$204,B14,$C$5:$C$204,C14)&gt;1,"Duplicate line",IF(COUNTIF($B$4:B13,C14)&gt;0,"Place above its parts",IF(ISNUMBER(A14),"OK","Check parent"))))</f>
      </c>
    </row>
    <row r="15" spans="1:12" x14ac:dyDescent="0.25">
      <c r="A15" s="14">
        <f>IF(B15=$B$2,1,IFERROR(INDEX($A$4:A14,MATCH(B15,$C$4:C14,0))+1,"check parent"))</f>
      </c>
      <c r="B15" s="12" t="s">
        <v>53</v>
      </c>
      <c r="C15" s="12" t="s">
        <v>74</v>
      </c>
      <c r="D15" s="21">
        <f>IFERROR(INDEX(Parts!$B$2:$B$101,MATCH($C15,Parts!$A$2:$A$101,0)),"(unknown part)")</f>
      </c>
      <c r="E15" s="14">
        <f>IFERROR(INDEX(Parts!$C$2:$C$101,MATCH($C15,Parts!$A$2:$A$101,0)),"(unknown part)")</f>
      </c>
      <c r="F15" s="14">
        <f>IFERROR(INDEX(Parts!$D$2:$D$101,MATCH($C15,Parts!$A$2:$A$101,0)),"")</f>
      </c>
      <c r="G15" s="22">
        <v>1</v>
      </c>
      <c r="H15" s="23">
        <f>IF(A15=1,G15,G15*SUMIFS($H$4:H14,$C$4:C14,B15))</f>
      </c>
      <c r="I15" s="16">
        <f>IF(E15="Purchased",IFERROR(INDEX(Parts!$E$2:$E$101,MATCH($C15,Parts!$A$2:$A$101,0)),0),SUMIFS($J16:$J$204,$B16:$B$204,$C15))</f>
      </c>
      <c r="J15" s="16">
        <f>G15*I15</f>
      </c>
      <c r="K15" s="16">
        <f>IF(E15="Purchased",H15*I15,0)</f>
      </c>
      <c r="L15" s="14">
        <f>IF(C15="","",IF(COUNTIFS($B$5:$B$204,B15,$C$5:$C$204,C15)&gt;1,"Duplicate line",IF(COUNTIF($B$4:B14,C15)&gt;0,"Place above its parts",IF(ISNUMBER(A15),"OK","Check parent"))))</f>
      </c>
    </row>
    <row r="16" spans="1:12" x14ac:dyDescent="0.25">
      <c r="A16" s="14">
        <f>IF(B16=$B$2,1,IFERROR(INDEX($A$4:A15,MATCH(B16,$C$4:C15,0))+1,"check parent"))</f>
      </c>
      <c r="B16" s="12" t="s">
        <v>53</v>
      </c>
      <c r="C16" s="12" t="s">
        <v>76</v>
      </c>
      <c r="D16" s="21">
        <f>IFERROR(INDEX(Parts!$B$2:$B$101,MATCH($C16,Parts!$A$2:$A$101,0)),"(unknown part)")</f>
      </c>
      <c r="E16" s="14">
        <f>IFERROR(INDEX(Parts!$C$2:$C$101,MATCH($C16,Parts!$A$2:$A$101,0)),"(unknown part)")</f>
      </c>
      <c r="F16" s="14">
        <f>IFERROR(INDEX(Parts!$D$2:$D$101,MATCH($C16,Parts!$A$2:$A$101,0)),"")</f>
      </c>
      <c r="G16" s="22">
        <v>2</v>
      </c>
      <c r="H16" s="23">
        <f>IF(A16=1,G16,G16*SUMIFS($H$4:H15,$C$4:C15,B16))</f>
      </c>
      <c r="I16" s="16">
        <f>IF(E16="Purchased",IFERROR(INDEX(Parts!$E$2:$E$101,MATCH($C16,Parts!$A$2:$A$101,0)),0),SUMIFS($J17:$J$204,$B17:$B$204,$C16))</f>
      </c>
      <c r="J16" s="16">
        <f>G16*I16</f>
      </c>
      <c r="K16" s="16">
        <f>IF(E16="Purchased",H16*I16,0)</f>
      </c>
      <c r="L16" s="14">
        <f>IF(C16="","",IF(COUNTIFS($B$5:$B$204,B16,$C$5:$C$204,C16)&gt;1,"Duplicate line",IF(COUNTIF($B$4:B15,C16)&gt;0,"Place above its parts",IF(ISNUMBER(A16),"OK","Check parent"))))</f>
      </c>
    </row>
    <row r="17" spans="1:12" x14ac:dyDescent="0.25">
      <c r="A17" s="14">
        <f>IF(B17=$B$2,1,IFERROR(INDEX($A$4:A16,MATCH(B17,$C$4:C16,0))+1,"check parent"))</f>
      </c>
      <c r="B17" s="12" t="s">
        <v>42</v>
      </c>
      <c r="C17" s="12" t="s">
        <v>78</v>
      </c>
      <c r="D17" s="21">
        <f>IFERROR(INDEX(Parts!$B$2:$B$101,MATCH($C17,Parts!$A$2:$A$101,0)),"(unknown part)")</f>
      </c>
      <c r="E17" s="14">
        <f>IFERROR(INDEX(Parts!$C$2:$C$101,MATCH($C17,Parts!$A$2:$A$101,0)),"(unknown part)")</f>
      </c>
      <c r="F17" s="14">
        <f>IFERROR(INDEX(Parts!$D$2:$D$101,MATCH($C17,Parts!$A$2:$A$101,0)),"")</f>
      </c>
      <c r="G17" s="22">
        <v>2</v>
      </c>
      <c r="H17" s="23">
        <f>IF(A17=1,G17,G17*SUMIFS($H$4:H16,$C$4:C16,B17))</f>
      </c>
      <c r="I17" s="16">
        <f>IF(E17="Purchased",IFERROR(INDEX(Parts!$E$2:$E$101,MATCH($C17,Parts!$A$2:$A$101,0)),0),SUMIFS($J18:$J$204,$B18:$B$204,$C17))</f>
      </c>
      <c r="J17" s="16">
        <f>G17*I17</f>
      </c>
      <c r="K17" s="16">
        <f>IF(E17="Purchased",H17*I17,0)</f>
      </c>
      <c r="L17" s="14">
        <f>IF(C17="","",IF(COUNTIFS($B$5:$B$204,B17,$C$5:$C$204,C17)&gt;1,"Duplicate line",IF(COUNTIF($B$4:B16,C17)&gt;0,"Place above its parts",IF(ISNUMBER(A17),"OK","Check parent"))))</f>
      </c>
    </row>
  </sheetData>
  <mergeCells count="2">
    <mergeCell ref="A1:L1"/>
    <mergeCell ref="C2:E2"/>
  </mergeCells>
  <dataValidations count="10">
    <dataValidation type="list" showErrorMessage="1" errorTitle="Invalid parent part" error="Choose a part number that is listed on the Parts sheet." sqref="B10:B17">
      <formula1>Parts!$A$2:$A$101</formula1>
    </dataValidation>
    <dataValidation type="list" showErrorMessage="1" errorTitle="Invalid parent part" error="Choose a part number that is listed on the Parts sheet." sqref="B18:B204">
      <formula1>Parts!$A$2:$A$101</formula1>
    </dataValidation>
    <dataValidation type="list" showErrorMessage="1" errorTitle="Invalid finished product" error="Choose a part number that is listed on the Parts sheet." sqref="B2">
      <formula1>Parts!$A$2:$A$101</formula1>
    </dataValidation>
    <dataValidation type="list" showErrorMessage="1" errorTitle="Invalid parent part" error="Choose a part number that is listed on the Parts sheet." sqref="B5:B17">
      <formula1>Parts!$A$2:$A$101</formula1>
    </dataValidation>
    <dataValidation type="list" showErrorMessage="1" errorTitle="Invalid part number" error="Choose a part number that is listed on the Parts sheet." sqref="C10:C17">
      <formula1>Parts!$A$2:$A$101</formula1>
    </dataValidation>
    <dataValidation type="list" showErrorMessage="1" errorTitle="Invalid part number" error="Choose a part number that is listed on the Parts sheet." sqref="C18:C204">
      <formula1>Parts!$A$2:$A$101</formula1>
    </dataValidation>
    <dataValidation type="list" showErrorMessage="1" errorTitle="Invalid part number" error="Choose a part number that is listed on the Parts sheet." sqref="C5:C17">
      <formula1>Parts!$A$2:$A$101</formula1>
    </dataValidation>
    <dataValidation type="decimal" allowBlank="1" showErrorMessage="1" errorTitle="Invalid quantity" error="Enter a number between 0 and 100000" sqref="G10:G17">
      <formula1>0</formula1>
      <formula2>100000</formula2>
    </dataValidation>
    <dataValidation type="decimal" allowBlank="1" showErrorMessage="1" errorTitle="Invalid quantity" error="Enter a number between 0 and 100000" sqref="G18:G204">
      <formula1>0</formula1>
      <formula2>100000</formula2>
    </dataValidation>
    <dataValidation type="decimal" allowBlank="1" showErrorMessage="1" errorTitle="Invalid quantity" error="Enter a number between 0 and 100000" sqref="G5:G17">
      <formula1>0</formula1>
      <formula2>100000</formula2>
    </dataValidation>
  </dataValidation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workbookViewId="0" showGridLines="0"/>
  </sheetViews>
  <sheetFormatPr defaultRowHeight="15" outlineLevelRow="0" outlineLevelCol="0" x14ac:dyDescent="55"/>
  <cols>
    <col min="1" max="1" width="36" customWidth="1"/>
    <col min="2" max="2" width="28" customWidth="1"/>
    <col min="4" max="4" width="15" customWidth="1"/>
    <col min="5" max="6" width="18" customWidth="1"/>
  </cols>
  <sheetData>
    <row r="1" ht="30" customHeight="1" spans="1:6" x14ac:dyDescent="0.25">
      <c r="A1" s="2" t="s">
        <v>89</v>
      </c>
      <c r="B1" s="2"/>
      <c r="C1" s="2"/>
      <c r="D1" s="2"/>
      <c r="E1" s="2"/>
      <c r="F1" s="2"/>
    </row>
    <row r="2" spans="1:2" x14ac:dyDescent="0.25">
      <c r="A2" s="2"/>
      <c r="B2" s="2"/>
    </row>
    <row r="3" spans="1:3" x14ac:dyDescent="0.25">
      <c r="A3" s="5" t="s">
        <v>90</v>
      </c>
      <c r="B3" s="24">
        <f>BOM!$C$2</f>
      </c>
      <c r="C3" s="24"/>
    </row>
    <row r="4" spans="1:2" x14ac:dyDescent="0.25">
      <c r="A4" s="5" t="s">
        <v>91</v>
      </c>
      <c r="B4" s="25">
        <f>SUMIFS(BOM!$J$5:$J$204,BOM!$A$5:$A$204,1)</f>
      </c>
    </row>
    <row r="5" spans="1:2" x14ac:dyDescent="0.25">
      <c r="A5" s="5" t="s">
        <v>92</v>
      </c>
      <c r="B5" s="26">
        <f>SUM(BOM!$K$5:$K$204)</f>
      </c>
    </row>
    <row r="6" spans="1:2" x14ac:dyDescent="0.25">
      <c r="A6" s="5" t="s">
        <v>93</v>
      </c>
      <c r="B6" s="24">
        <f>IF(AND(ABS(B4-B5)&lt;0.005,COUNTA(BOM!$C$5:$C$204)=COUNTIF(BOM!$L$5:$L$204,"OK")),"OK","Check BOM")</f>
      </c>
    </row>
    <row r="7" spans="1:2" x14ac:dyDescent="0.25">
      <c r="A7" s="5" t="s">
        <v>94</v>
      </c>
      <c r="B7" s="27">
        <v>42</v>
      </c>
    </row>
    <row r="8" spans="1:2" x14ac:dyDescent="0.25">
      <c r="A8" s="5" t="s">
        <v>95</v>
      </c>
      <c r="B8" s="25">
        <f>B4+B7</f>
      </c>
    </row>
    <row r="9" spans="1:2" x14ac:dyDescent="0.25">
      <c r="A9" s="5" t="s">
        <v>96</v>
      </c>
      <c r="B9" s="27">
        <v>189</v>
      </c>
    </row>
    <row r="10" spans="1:2" x14ac:dyDescent="0.25">
      <c r="A10" s="5" t="s">
        <v>97</v>
      </c>
      <c r="B10" s="25">
        <f>B9-B8</f>
      </c>
    </row>
    <row r="11" spans="1:2" x14ac:dyDescent="0.25">
      <c r="A11" s="5" t="s">
        <v>98</v>
      </c>
      <c r="B11" s="28">
        <f>IF(B9=0,0,B10/B9)</f>
      </c>
    </row>
    <row r="12" spans="1:2" x14ac:dyDescent="0.25">
      <c r="A12" s="2"/>
      <c r="B12" s="2"/>
    </row>
    <row r="13" spans="1:6" x14ac:dyDescent="0.25">
      <c r="A13" s="3" t="s">
        <v>99</v>
      </c>
      <c r="B13" s="3"/>
      <c r="C13" s="3"/>
      <c r="D13" s="3"/>
      <c r="E13" s="3"/>
      <c r="F13" s="3"/>
    </row>
    <row r="14" ht="36" customHeight="1" spans="1:6" x14ac:dyDescent="0.25">
      <c r="A14" s="11" t="s">
        <v>33</v>
      </c>
      <c r="B14" s="11" t="s">
        <v>34</v>
      </c>
      <c r="C14" s="11" t="s">
        <v>82</v>
      </c>
      <c r="D14" s="11" t="s">
        <v>100</v>
      </c>
      <c r="E14" s="11" t="s">
        <v>101</v>
      </c>
      <c r="F14" s="11" t="s">
        <v>102</v>
      </c>
    </row>
    <row r="15" spans="1:6" x14ac:dyDescent="0.25">
      <c r="A15" s="24">
        <f>Parts!A3</f>
      </c>
      <c r="B15" s="21">
        <f>Parts!B3</f>
      </c>
      <c r="C15" s="14">
        <f>IFERROR(INDEX(BOM!$A$5:$A$204,MATCH($A15,BOM!$C$5:$C$204,0)),"")</f>
      </c>
      <c r="D15" s="23">
        <f>SUMIF(BOM!$C$5:$C$204,$A15,BOM!$H$5:$H$204)</f>
      </c>
      <c r="E15" s="16">
        <f>IFERROR(INDEX(BOM!$I$5:$I$204,MATCH($A15,BOM!$C$5:$C$204,0)),0)</f>
      </c>
      <c r="F15" s="16">
        <f>D15*E15</f>
      </c>
    </row>
    <row r="16" spans="1:6" x14ac:dyDescent="0.25">
      <c r="A16" s="24">
        <f>Parts!A4</f>
      </c>
      <c r="B16" s="21">
        <f>Parts!B4</f>
      </c>
      <c r="C16" s="14">
        <f>IFERROR(INDEX(BOM!$A$5:$A$204,MATCH($A16,BOM!$C$5:$C$204,0)),"")</f>
      </c>
      <c r="D16" s="23">
        <f>SUMIF(BOM!$C$5:$C$204,$A16,BOM!$H$5:$H$204)</f>
      </c>
      <c r="E16" s="16">
        <f>IFERROR(INDEX(BOM!$I$5:$I$204,MATCH($A16,BOM!$C$5:$C$204,0)),0)</f>
      </c>
      <c r="F16" s="16">
        <f>D16*E16</f>
      </c>
    </row>
    <row r="17" spans="1:6" x14ac:dyDescent="0.25">
      <c r="A17" s="24">
        <f>Parts!A5</f>
      </c>
      <c r="B17" s="21">
        <f>Parts!B5</f>
      </c>
      <c r="C17" s="14">
        <f>IFERROR(INDEX(BOM!$A$5:$A$204,MATCH($A17,BOM!$C$5:$C$204,0)),"")</f>
      </c>
      <c r="D17" s="23">
        <f>SUMIF(BOM!$C$5:$C$204,$A17,BOM!$H$5:$H$204)</f>
      </c>
      <c r="E17" s="16">
        <f>IFERROR(INDEX(BOM!$I$5:$I$204,MATCH($A17,BOM!$C$5:$C$204,0)),0)</f>
      </c>
      <c r="F17" s="16">
        <f>D17*E17</f>
      </c>
    </row>
    <row r="18" spans="1:2" x14ac:dyDescent="0.25">
      <c r="A18" s="2"/>
      <c r="B18" s="2"/>
    </row>
    <row r="19" ht="32" customHeight="1" spans="1:6" x14ac:dyDescent="0.25">
      <c r="A19" s="4" t="s">
        <v>103</v>
      </c>
      <c r="B19" s="4"/>
      <c r="C19" s="4"/>
      <c r="D19" s="4"/>
      <c r="E19" s="4"/>
      <c r="F19" s="4"/>
    </row>
  </sheetData>
  <mergeCells count="4">
    <mergeCell ref="A1:F1"/>
    <mergeCell ref="B3:C3"/>
    <mergeCell ref="A13:F13"/>
    <mergeCell ref="A19:F19"/>
  </mergeCells>
  <dataValidations count="2">
    <dataValidation type="decimal" allowBlank="1" showErrorMessage="1" errorTitle="Invalid amount" error="Enter a number between 0 and 10000000" sqref="B7">
      <formula1>0</formula1>
      <formula2>10000000</formula2>
    </dataValidation>
    <dataValidation type="decimal" allowBlank="1" showErrorMessage="1" errorTitle="Invalid amount" error="Enter a number between 0 and 10000000" sqref="B9">
      <formula1>0</formula1>
      <formula2>10000000</formula2>
    </dataValidation>
  </dataValidation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
  <sheetViews>
    <sheetView workbookViewId="0" showGridLines="0"/>
  </sheetViews>
  <sheetFormatPr defaultRowHeight="15" outlineLevelRow="0" outlineLevelCol="0" x14ac:dyDescent="55"/>
  <cols>
    <col min="1" max="1" width="34" customWidth="1"/>
    <col min="2" max="2" width="28" customWidth="1"/>
    <col min="3" max="4" width="14" customWidth="1"/>
    <col min="5" max="5" width="11" customWidth="1"/>
    <col min="6" max="6" width="12" customWidth="1"/>
    <col min="7" max="7" width="13" customWidth="1"/>
    <col min="8" max="8" width="11" customWidth="1"/>
    <col min="9" max="9" width="13" customWidth="1"/>
    <col min="10" max="10" width="17" customWidth="1"/>
  </cols>
  <sheetData>
    <row r="1" ht="30" customHeight="1" spans="1:10" x14ac:dyDescent="0.25">
      <c r="A1" s="2" t="s">
        <v>104</v>
      </c>
      <c r="B1" s="2"/>
      <c r="C1" s="2"/>
      <c r="D1" s="2"/>
      <c r="E1" s="2"/>
      <c r="F1" s="2"/>
      <c r="G1" s="2"/>
      <c r="H1" s="2"/>
      <c r="I1" s="2"/>
      <c r="J1" s="2"/>
    </row>
    <row r="2" spans="1:2" x14ac:dyDescent="0.25">
      <c r="A2" s="2"/>
      <c r="B2" s="2"/>
    </row>
    <row r="3" spans="1:2" x14ac:dyDescent="0.25">
      <c r="A3" s="5" t="s">
        <v>105</v>
      </c>
      <c r="B3" s="29">
        <v>20</v>
      </c>
    </row>
    <row r="4" spans="1:2" x14ac:dyDescent="0.25">
      <c r="A4" s="5" t="s">
        <v>106</v>
      </c>
      <c r="B4" s="30">
        <f>MIN($F$9:$F$18)</f>
      </c>
    </row>
    <row r="5" spans="1:3" x14ac:dyDescent="0.25">
      <c r="A5" s="5" t="s">
        <v>107</v>
      </c>
      <c r="B5" s="31">
        <f>INDEX($B$9:$B$18,MATCH(B4,$F$9:$F$18,0))</f>
      </c>
      <c r="C5" s="31"/>
    </row>
    <row r="6" spans="1:2" x14ac:dyDescent="0.25">
      <c r="A6" s="5" t="s">
        <v>108</v>
      </c>
      <c r="B6" s="25">
        <f>SUM($I$9:$I$18)</f>
      </c>
    </row>
    <row r="7" spans="1:2" x14ac:dyDescent="0.25">
      <c r="A7" s="2"/>
      <c r="B7" s="2"/>
    </row>
    <row r="8" ht="36" customHeight="1" spans="1:10" x14ac:dyDescent="0.25">
      <c r="A8" s="11" t="s">
        <v>33</v>
      </c>
      <c r="B8" s="11" t="s">
        <v>34</v>
      </c>
      <c r="C8" s="11" t="s">
        <v>36</v>
      </c>
      <c r="D8" s="11" t="s">
        <v>100</v>
      </c>
      <c r="E8" s="11" t="s">
        <v>38</v>
      </c>
      <c r="F8" s="11" t="s">
        <v>109</v>
      </c>
      <c r="G8" s="11" t="s">
        <v>110</v>
      </c>
      <c r="H8" s="11" t="s">
        <v>111</v>
      </c>
      <c r="I8" s="11" t="s">
        <v>112</v>
      </c>
      <c r="J8" s="11" t="s">
        <v>113</v>
      </c>
    </row>
    <row r="9" spans="1:10" x14ac:dyDescent="0.25">
      <c r="A9" s="24">
        <f>Parts!A6</f>
      </c>
      <c r="B9" s="21">
        <f>Parts!B6</f>
      </c>
      <c r="C9" s="14">
        <f>Parts!D6</f>
      </c>
      <c r="D9" s="23">
        <f>SUMIF(BOM!$C$5:$C$204,$A9,BOM!$H$5:$H$204)</f>
      </c>
      <c r="E9" s="32">
        <f>Parts!F6</f>
      </c>
      <c r="F9" s="32">
        <f>IF(D9=0,"",INT(ROUND(E9/D9,9)))</f>
      </c>
      <c r="G9" s="23">
        <f>D9*$B$3</f>
      </c>
      <c r="H9" s="23">
        <f>MAX(0,G9-E9)</f>
      </c>
      <c r="I9" s="16">
        <f>H9*Parts!E6</f>
      </c>
      <c r="J9" s="33">
        <f>IF(F9="","Not used",IF(F9=MIN($F$9:$F$18),"Limiting part",IF(H9&gt;0,"Short for build","OK")))</f>
      </c>
    </row>
    <row r="10" spans="1:10" x14ac:dyDescent="0.25">
      <c r="A10" s="24">
        <f>Parts!A7</f>
      </c>
      <c r="B10" s="21">
        <f>Parts!B7</f>
      </c>
      <c r="C10" s="14">
        <f>Parts!D7</f>
      </c>
      <c r="D10" s="23">
        <f>SUMIF(BOM!$C$5:$C$204,$A10,BOM!$H$5:$H$204)</f>
      </c>
      <c r="E10" s="32">
        <f>Parts!F7</f>
      </c>
      <c r="F10" s="32">
        <f>IF(D10=0,"",INT(ROUND(E10/D10,9)))</f>
      </c>
      <c r="G10" s="23">
        <f>D10*$B$3</f>
      </c>
      <c r="H10" s="23">
        <f>MAX(0,G10-E10)</f>
      </c>
      <c r="I10" s="16">
        <f>H10*Parts!E7</f>
      </c>
      <c r="J10" s="33">
        <f>IF(F10="","Not used",IF(F10=MIN($F$9:$F$18),"Limiting part",IF(H10&gt;0,"Short for build","OK")))</f>
      </c>
    </row>
    <row r="11" spans="1:10" x14ac:dyDescent="0.25">
      <c r="A11" s="24">
        <f>Parts!A8</f>
      </c>
      <c r="B11" s="21">
        <f>Parts!B8</f>
      </c>
      <c r="C11" s="14">
        <f>Parts!D8</f>
      </c>
      <c r="D11" s="23">
        <f>SUMIF(BOM!$C$5:$C$204,$A11,BOM!$H$5:$H$204)</f>
      </c>
      <c r="E11" s="32">
        <f>Parts!F8</f>
      </c>
      <c r="F11" s="32">
        <f>IF(D11=0,"",INT(ROUND(E11/D11,9)))</f>
      </c>
      <c r="G11" s="23">
        <f>D11*$B$3</f>
      </c>
      <c r="H11" s="23">
        <f>MAX(0,G11-E11)</f>
      </c>
      <c r="I11" s="16">
        <f>H11*Parts!E8</f>
      </c>
      <c r="J11" s="33">
        <f>IF(F11="","Not used",IF(F11=MIN($F$9:$F$18),"Limiting part",IF(H11&gt;0,"Short for build","OK")))</f>
      </c>
    </row>
    <row r="12" spans="1:10" x14ac:dyDescent="0.25">
      <c r="A12" s="24">
        <f>Parts!A9</f>
      </c>
      <c r="B12" s="21">
        <f>Parts!B9</f>
      </c>
      <c r="C12" s="14">
        <f>Parts!D9</f>
      </c>
      <c r="D12" s="23">
        <f>SUMIF(BOM!$C$5:$C$204,$A12,BOM!$H$5:$H$204)</f>
      </c>
      <c r="E12" s="32">
        <f>Parts!F9</f>
      </c>
      <c r="F12" s="32">
        <f>IF(D12=0,"",INT(ROUND(E12/D12,9)))</f>
      </c>
      <c r="G12" s="23">
        <f>D12*$B$3</f>
      </c>
      <c r="H12" s="23">
        <f>MAX(0,G12-E12)</f>
      </c>
      <c r="I12" s="16">
        <f>H12*Parts!E9</f>
      </c>
      <c r="J12" s="33">
        <f>IF(F12="","Not used",IF(F12=MIN($F$9:$F$18),"Limiting part",IF(H12&gt;0,"Short for build","OK")))</f>
      </c>
    </row>
    <row r="13" spans="1:10" x14ac:dyDescent="0.25">
      <c r="A13" s="24">
        <f>Parts!A10</f>
      </c>
      <c r="B13" s="21">
        <f>Parts!B10</f>
      </c>
      <c r="C13" s="14">
        <f>Parts!D10</f>
      </c>
      <c r="D13" s="23">
        <f>SUMIF(BOM!$C$5:$C$204,$A13,BOM!$H$5:$H$204)</f>
      </c>
      <c r="E13" s="32">
        <f>Parts!F10</f>
      </c>
      <c r="F13" s="32">
        <f>IF(D13=0,"",INT(ROUND(E13/D13,9)))</f>
      </c>
      <c r="G13" s="23">
        <f>D13*$B$3</f>
      </c>
      <c r="H13" s="23">
        <f>MAX(0,G13-E13)</f>
      </c>
      <c r="I13" s="16">
        <f>H13*Parts!E10</f>
      </c>
      <c r="J13" s="33">
        <f>IF(F13="","Not used",IF(F13=MIN($F$9:$F$18),"Limiting part",IF(H13&gt;0,"Short for build","OK")))</f>
      </c>
    </row>
    <row r="14" spans="1:10" x14ac:dyDescent="0.25">
      <c r="A14" s="24">
        <f>Parts!A11</f>
      </c>
      <c r="B14" s="21">
        <f>Parts!B11</f>
      </c>
      <c r="C14" s="14">
        <f>Parts!D11</f>
      </c>
      <c r="D14" s="23">
        <f>SUMIF(BOM!$C$5:$C$204,$A14,BOM!$H$5:$H$204)</f>
      </c>
      <c r="E14" s="32">
        <f>Parts!F11</f>
      </c>
      <c r="F14" s="32">
        <f>IF(D14=0,"",INT(ROUND(E14/D14,9)))</f>
      </c>
      <c r="G14" s="23">
        <f>D14*$B$3</f>
      </c>
      <c r="H14" s="23">
        <f>MAX(0,G14-E14)</f>
      </c>
      <c r="I14" s="16">
        <f>H14*Parts!E11</f>
      </c>
      <c r="J14" s="33">
        <f>IF(F14="","Not used",IF(F14=MIN($F$9:$F$18),"Limiting part",IF(H14&gt;0,"Short for build","OK")))</f>
      </c>
    </row>
    <row r="15" spans="1:10" x14ac:dyDescent="0.25">
      <c r="A15" s="24">
        <f>Parts!A12</f>
      </c>
      <c r="B15" s="21">
        <f>Parts!B12</f>
      </c>
      <c r="C15" s="14">
        <f>Parts!D12</f>
      </c>
      <c r="D15" s="23">
        <f>SUMIF(BOM!$C$5:$C$204,$A15,BOM!$H$5:$H$204)</f>
      </c>
      <c r="E15" s="32">
        <f>Parts!F12</f>
      </c>
      <c r="F15" s="32">
        <f>IF(D15=0,"",INT(ROUND(E15/D15,9)))</f>
      </c>
      <c r="G15" s="23">
        <f>D15*$B$3</f>
      </c>
      <c r="H15" s="23">
        <f>MAX(0,G15-E15)</f>
      </c>
      <c r="I15" s="16">
        <f>H15*Parts!E12</f>
      </c>
      <c r="J15" s="33">
        <f>IF(F15="","Not used",IF(F15=MIN($F$9:$F$18),"Limiting part",IF(H15&gt;0,"Short for build","OK")))</f>
      </c>
    </row>
    <row r="16" spans="1:10" x14ac:dyDescent="0.25">
      <c r="A16" s="24">
        <f>Parts!A13</f>
      </c>
      <c r="B16" s="21">
        <f>Parts!B13</f>
      </c>
      <c r="C16" s="14">
        <f>Parts!D13</f>
      </c>
      <c r="D16" s="23">
        <f>SUMIF(BOM!$C$5:$C$204,$A16,BOM!$H$5:$H$204)</f>
      </c>
      <c r="E16" s="32">
        <f>Parts!F13</f>
      </c>
      <c r="F16" s="32">
        <f>IF(D16=0,"",INT(ROUND(E16/D16,9)))</f>
      </c>
      <c r="G16" s="23">
        <f>D16*$B$3</f>
      </c>
      <c r="H16" s="23">
        <f>MAX(0,G16-E16)</f>
      </c>
      <c r="I16" s="16">
        <f>H16*Parts!E13</f>
      </c>
      <c r="J16" s="33">
        <f>IF(F16="","Not used",IF(F16=MIN($F$9:$F$18),"Limiting part",IF(H16&gt;0,"Short for build","OK")))</f>
      </c>
    </row>
    <row r="17" spans="1:10" x14ac:dyDescent="0.25">
      <c r="A17" s="24">
        <f>Parts!A14</f>
      </c>
      <c r="B17" s="21">
        <f>Parts!B14</f>
      </c>
      <c r="C17" s="14">
        <f>Parts!D14</f>
      </c>
      <c r="D17" s="23">
        <f>SUMIF(BOM!$C$5:$C$204,$A17,BOM!$H$5:$H$204)</f>
      </c>
      <c r="E17" s="32">
        <f>Parts!F14</f>
      </c>
      <c r="F17" s="32">
        <f>IF(D17=0,"",INT(ROUND(E17/D17,9)))</f>
      </c>
      <c r="G17" s="23">
        <f>D17*$B$3</f>
      </c>
      <c r="H17" s="23">
        <f>MAX(0,G17-E17)</f>
      </c>
      <c r="I17" s="16">
        <f>H17*Parts!E14</f>
      </c>
      <c r="J17" s="33">
        <f>IF(F17="","Not used",IF(F17=MIN($F$9:$F$18),"Limiting part",IF(H17&gt;0,"Short for build","OK")))</f>
      </c>
    </row>
    <row r="18" spans="1:10" x14ac:dyDescent="0.25">
      <c r="A18" s="24">
        <f>Parts!A15</f>
      </c>
      <c r="B18" s="21">
        <f>Parts!B15</f>
      </c>
      <c r="C18" s="14">
        <f>Parts!D15</f>
      </c>
      <c r="D18" s="23">
        <f>SUMIF(BOM!$C$5:$C$204,$A18,BOM!$H$5:$H$204)</f>
      </c>
      <c r="E18" s="32">
        <f>Parts!F15</f>
      </c>
      <c r="F18" s="32">
        <f>IF(D18=0,"",INT(ROUND(E18/D18,9)))</f>
      </c>
      <c r="G18" s="23">
        <f>D18*$B$3</f>
      </c>
      <c r="H18" s="23">
        <f>MAX(0,G18-E18)</f>
      </c>
      <c r="I18" s="16">
        <f>H18*Parts!E15</f>
      </c>
      <c r="J18" s="33">
        <f>IF(F18="","Not used",IF(F18=MIN($F$9:$F$18),"Limiting part",IF(H18&gt;0,"Short for build","OK")))</f>
      </c>
    </row>
  </sheetData>
  <mergeCells count="2">
    <mergeCell ref="A1:J1"/>
    <mergeCell ref="B5:C5"/>
  </mergeCells>
  <dataValidations count="1">
    <dataValidation type="decimal" allowBlank="1" showErrorMessage="1" errorTitle="Invalid build quantity" error="Enter a number between 0 and 1000000" sqref="B3">
      <formula1>0</formula1>
      <formula2>1000000</formula2>
    </dataValidation>
  </dataValidations>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workbookViewId="0" showGridLines="0"/>
  </sheetViews>
  <sheetFormatPr defaultRowHeight="15" outlineLevelRow="0" outlineLevelCol="0" x14ac:dyDescent="55"/>
  <cols>
    <col min="1" max="1" width="34" customWidth="1"/>
    <col min="2" max="2" width="28" customWidth="1"/>
    <col min="3" max="3" width="16" customWidth="1"/>
    <col min="4" max="4" width="20" customWidth="1"/>
    <col min="5" max="5" width="16" customWidth="1"/>
    <col min="6" max="6" width="20" customWidth="1"/>
  </cols>
  <sheetData>
    <row r="1" spans="1:6" x14ac:dyDescent="0.25">
      <c r="A1" s="1" t="s">
        <v>0</v>
      </c>
      <c r="B1" s="1"/>
      <c r="C1" s="1"/>
      <c r="D1" s="1"/>
      <c r="E1" s="1"/>
      <c r="F1" s="1"/>
    </row>
    <row r="2" spans="1:6" x14ac:dyDescent="0.25">
      <c r="A2" s="2"/>
      <c r="B2" s="2"/>
      <c r="C2" s="2"/>
      <c r="D2" s="2"/>
      <c r="F2" s="2"/>
    </row>
    <row r="3" spans="1:6" x14ac:dyDescent="0.25">
      <c r="A3" s="5" t="s">
        <v>114</v>
      </c>
      <c r="B3" s="34">
        <f>BOM!$C$2</f>
      </c>
      <c r="C3" s="34"/>
      <c r="D3" s="34"/>
      <c r="F3" s="2"/>
    </row>
    <row r="4" spans="1:6" x14ac:dyDescent="0.25">
      <c r="A4" s="2"/>
      <c r="B4" s="2"/>
      <c r="C4" s="2"/>
      <c r="D4" s="2"/>
      <c r="F4" s="2"/>
    </row>
    <row r="5" spans="1:6" x14ac:dyDescent="0.25">
      <c r="A5" s="3" t="s">
        <v>115</v>
      </c>
      <c r="B5" s="3"/>
      <c r="C5" s="3"/>
      <c r="D5" s="3"/>
      <c r="E5" s="3"/>
      <c r="F5" s="3"/>
    </row>
    <row r="6" ht="30" customHeight="1" spans="1:6" x14ac:dyDescent="0.25">
      <c r="A6" s="11" t="s">
        <v>116</v>
      </c>
      <c r="B6" s="11" t="s">
        <v>117</v>
      </c>
      <c r="C6" s="11" t="s">
        <v>118</v>
      </c>
      <c r="D6" s="11"/>
      <c r="E6" s="11"/>
      <c r="F6" s="11"/>
    </row>
    <row r="7" spans="1:6" x14ac:dyDescent="0.25">
      <c r="A7" s="5" t="s">
        <v>119</v>
      </c>
      <c r="B7" s="30">
        <f>COUNTA(Parts!$A$2:$A$101)</f>
      </c>
      <c r="C7" s="7" t="s">
        <v>120</v>
      </c>
      <c r="D7" s="7"/>
      <c r="E7" s="7"/>
      <c r="F7" s="7"/>
    </row>
    <row r="8" spans="1:6" x14ac:dyDescent="0.25">
      <c r="A8" s="5" t="s">
        <v>121</v>
      </c>
      <c r="B8" s="30">
        <f>COUNTA(BOM!$C$5:$C$204)</f>
      </c>
      <c r="C8" s="7" t="s">
        <v>122</v>
      </c>
      <c r="D8" s="7"/>
      <c r="E8" s="7"/>
      <c r="F8" s="7"/>
    </row>
    <row r="9" spans="1:6" x14ac:dyDescent="0.25">
      <c r="A9" s="5" t="s">
        <v>123</v>
      </c>
      <c r="B9" s="25">
        <f>'Cost Rollup'!$B$4</f>
      </c>
      <c r="C9" s="7" t="s">
        <v>124</v>
      </c>
      <c r="D9" s="7"/>
      <c r="E9" s="7"/>
      <c r="F9" s="7"/>
    </row>
    <row r="10" spans="1:6" x14ac:dyDescent="0.25">
      <c r="A10" s="5" t="s">
        <v>125</v>
      </c>
      <c r="B10" s="25">
        <f>'Cost Rollup'!$B$8</f>
      </c>
      <c r="C10" s="7" t="s">
        <v>126</v>
      </c>
      <c r="D10" s="7"/>
      <c r="E10" s="7"/>
      <c r="F10" s="7"/>
    </row>
    <row r="11" spans="1:6" x14ac:dyDescent="0.25">
      <c r="A11" s="5" t="s">
        <v>98</v>
      </c>
      <c r="B11" s="28">
        <f>'Cost Rollup'!$B$11</f>
      </c>
      <c r="C11" s="7" t="s">
        <v>127</v>
      </c>
      <c r="D11" s="7"/>
      <c r="E11" s="7"/>
      <c r="F11" s="7"/>
    </row>
    <row r="12" spans="1:6" x14ac:dyDescent="0.25">
      <c r="A12" s="5" t="s">
        <v>128</v>
      </c>
      <c r="B12" s="30">
        <f>Buildable!$B$4</f>
      </c>
      <c r="C12" s="7" t="s">
        <v>129</v>
      </c>
      <c r="D12" s="7"/>
      <c r="E12" s="7"/>
      <c r="F12" s="7"/>
    </row>
    <row r="13" spans="1:6" x14ac:dyDescent="0.25">
      <c r="A13" s="5" t="s">
        <v>107</v>
      </c>
      <c r="B13" s="31">
        <f>Buildable!$B$5</f>
      </c>
      <c r="C13" s="7" t="s">
        <v>130</v>
      </c>
      <c r="D13" s="7"/>
      <c r="E13" s="7"/>
      <c r="F13" s="7"/>
    </row>
    <row r="14" spans="1:6" x14ac:dyDescent="0.25">
      <c r="A14" s="5" t="s">
        <v>131</v>
      </c>
      <c r="B14" s="25">
        <f>Buildable!$B$6</f>
      </c>
      <c r="C14" s="7" t="s">
        <v>132</v>
      </c>
      <c r="D14" s="7"/>
      <c r="E14" s="7"/>
      <c r="F14" s="7"/>
    </row>
    <row r="15" spans="1:6" x14ac:dyDescent="0.25">
      <c r="A15" s="5" t="s">
        <v>133</v>
      </c>
      <c r="B15" s="25">
        <f>SUM(Parts!$H$2:$H$101)</f>
      </c>
      <c r="C15" s="7" t="s">
        <v>134</v>
      </c>
      <c r="D15" s="7"/>
      <c r="E15" s="7"/>
      <c r="F15" s="7"/>
    </row>
    <row r="16" spans="1:6" x14ac:dyDescent="0.25">
      <c r="A16" s="2"/>
      <c r="B16" s="2"/>
      <c r="C16" s="2"/>
      <c r="D16" s="2"/>
      <c r="F16" s="2"/>
    </row>
    <row r="17" spans="1:6" x14ac:dyDescent="0.25">
      <c r="A17" s="3" t="s">
        <v>135</v>
      </c>
      <c r="B17" s="3"/>
      <c r="C17" s="3"/>
      <c r="D17" s="3"/>
      <c r="E17" s="3"/>
      <c r="F17" s="3"/>
    </row>
    <row r="18" ht="30" customHeight="1" spans="1:6" x14ac:dyDescent="0.25">
      <c r="A18" s="11" t="s">
        <v>136</v>
      </c>
      <c r="B18" s="11" t="s">
        <v>137</v>
      </c>
      <c r="C18" s="11" t="s">
        <v>138</v>
      </c>
      <c r="D18" s="11" t="s">
        <v>139</v>
      </c>
      <c r="F18" s="2"/>
    </row>
    <row r="19" spans="1:6" x14ac:dyDescent="0.25">
      <c r="A19" s="35">
        <v>1</v>
      </c>
      <c r="B19" s="36">
        <f>INDEX(BOM!$D$5:$D$204,MATCH(C19,BOM!$K$5:$K$204,0))</f>
      </c>
      <c r="C19" s="37">
        <f>LARGE(BOM!$K$5:$K$204,1)</f>
      </c>
      <c r="D19" s="38">
        <f>IF('Cost Rollup'!$B$4=0,0,C19/'Cost Rollup'!$B$4)</f>
      </c>
      <c r="F19" s="2"/>
    </row>
    <row r="20" spans="1:6" x14ac:dyDescent="0.25">
      <c r="A20" s="35">
        <v>2</v>
      </c>
      <c r="B20" s="36">
        <f>INDEX(BOM!$D$5:$D$204,MATCH(C20,BOM!$K$5:$K$204,0))</f>
      </c>
      <c r="C20" s="37">
        <f>LARGE(BOM!$K$5:$K$204,2)</f>
      </c>
      <c r="D20" s="38">
        <f>IF('Cost Rollup'!$B$4=0,0,C20/'Cost Rollup'!$B$4)</f>
      </c>
      <c r="F20" s="2"/>
    </row>
    <row r="21" spans="1:6" x14ac:dyDescent="0.25">
      <c r="A21" s="35">
        <v>3</v>
      </c>
      <c r="B21" s="36">
        <f>INDEX(BOM!$D$5:$D$204,MATCH(C21,BOM!$K$5:$K$204,0))</f>
      </c>
      <c r="C21" s="37">
        <f>LARGE(BOM!$K$5:$K$204,3)</f>
      </c>
      <c r="D21" s="38">
        <f>IF('Cost Rollup'!$B$4=0,0,C21/'Cost Rollup'!$B$4)</f>
      </c>
      <c r="F21" s="2"/>
    </row>
    <row r="22" spans="1:6" x14ac:dyDescent="0.25">
      <c r="A22" s="2"/>
      <c r="B22" s="2"/>
      <c r="C22" s="2"/>
      <c r="D22" s="2"/>
      <c r="F22" s="2"/>
    </row>
    <row r="23" spans="1:6" x14ac:dyDescent="0.25">
      <c r="A23" s="3" t="s">
        <v>140</v>
      </c>
      <c r="B23" s="3"/>
      <c r="C23" s="3"/>
      <c r="D23" s="3"/>
      <c r="E23" s="3"/>
      <c r="F23" s="3"/>
    </row>
    <row r="24" ht="30" customHeight="1" spans="1:6" x14ac:dyDescent="0.25">
      <c r="A24" s="11" t="s">
        <v>136</v>
      </c>
      <c r="B24" s="11" t="s">
        <v>137</v>
      </c>
      <c r="C24" s="11" t="s">
        <v>109</v>
      </c>
      <c r="D24" s="11" t="s">
        <v>38</v>
      </c>
      <c r="F24" s="2"/>
    </row>
    <row r="25" spans="1:6" x14ac:dyDescent="0.25">
      <c r="A25" s="35">
        <v>1</v>
      </c>
      <c r="B25" s="36">
        <f>INDEX(Buildable!$B$9:$B$18,MATCH(C25,Buildable!$F$9:$F$18,0))</f>
      </c>
      <c r="C25" s="39">
        <f>SMALL(Buildable!$F$9:$F$18,1)</f>
      </c>
      <c r="D25" s="39">
        <f>INDEX(Buildable!$E$9:$E$18,MATCH(C25,Buildable!$F$9:$F$18,0))</f>
      </c>
      <c r="F25" s="2"/>
    </row>
    <row r="26" spans="1:6" x14ac:dyDescent="0.25">
      <c r="A26" s="35">
        <v>2</v>
      </c>
      <c r="B26" s="36">
        <f>INDEX(Buildable!$B$9:$B$18,MATCH(C26,Buildable!$F$9:$F$18,0))</f>
      </c>
      <c r="C26" s="39">
        <f>SMALL(Buildable!$F$9:$F$18,2)</f>
      </c>
      <c r="D26" s="39">
        <f>INDEX(Buildable!$E$9:$E$18,MATCH(C26,Buildable!$F$9:$F$18,0))</f>
      </c>
      <c r="F26" s="2"/>
    </row>
    <row r="27" spans="1:6" x14ac:dyDescent="0.25">
      <c r="A27" s="35">
        <v>3</v>
      </c>
      <c r="B27" s="36">
        <f>INDEX(Buildable!$B$9:$B$18,MATCH(C27,Buildable!$F$9:$F$18,0))</f>
      </c>
      <c r="C27" s="39">
        <f>SMALL(Buildable!$F$9:$F$18,3)</f>
      </c>
      <c r="D27" s="39">
        <f>INDEX(Buildable!$E$9:$E$18,MATCH(C27,Buildable!$F$9:$F$18,0))</f>
      </c>
      <c r="F27" s="2"/>
    </row>
    <row r="28" spans="1:6" x14ac:dyDescent="0.25">
      <c r="A28" s="2"/>
      <c r="B28" s="2"/>
      <c r="C28" s="2"/>
      <c r="D28" s="2"/>
      <c r="F28" s="2"/>
    </row>
    <row r="29" spans="1:6" x14ac:dyDescent="0.25">
      <c r="A29" s="2"/>
      <c r="B29" s="2"/>
      <c r="C29" s="2"/>
      <c r="D29" s="2"/>
      <c r="F29" s="2"/>
    </row>
    <row r="30" ht="30" customHeight="1" spans="1:6" x14ac:dyDescent="0.25">
      <c r="A30" s="40" t="s">
        <v>32</v>
      </c>
      <c r="B30" s="40"/>
      <c r="C30" s="40"/>
      <c r="D30" s="40"/>
      <c r="E30" s="40"/>
      <c r="F30" s="40"/>
    </row>
  </sheetData>
  <mergeCells count="16">
    <mergeCell ref="A1:F1"/>
    <mergeCell ref="B3:D3"/>
    <mergeCell ref="A5:F5"/>
    <mergeCell ref="C6:F6"/>
    <mergeCell ref="C7:F7"/>
    <mergeCell ref="C8:F8"/>
    <mergeCell ref="C9:F9"/>
    <mergeCell ref="C10:F10"/>
    <mergeCell ref="C11:F11"/>
    <mergeCell ref="C12:F12"/>
    <mergeCell ref="C13:F13"/>
    <mergeCell ref="C14:F14"/>
    <mergeCell ref="C15:F15"/>
    <mergeCell ref="A17:F17"/>
    <mergeCell ref="A23:F23"/>
    <mergeCell ref="A30:F30"/>
  </mergeCells>
  <hyperlinks>
    <hyperlink ref="A30" r:id="rId1"/>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Instructions</vt:lpstr>
      <vt:lpstr>Parts</vt:lpstr>
      <vt:lpstr>BOM</vt:lpstr>
      <vt:lpstr>Cost Rollup</vt:lpstr>
      <vt:lpstr>Buildable</vt:lpstr>
      <vt:lpstr>Dashboard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Excel.TV</dc:creator>
  <dc:title/>
  <dc:subject/>
  <dc:description/>
  <cp:keywords/>
  <cp:category/>
  <cp:lastModifiedBy>Excel.TV template generator</cp:lastModifiedBy>
  <dcterms:created xsi:type="dcterms:W3CDTF">2026-10-29T17:36:49Z</dcterms:created>
  <dcterms:modified xsi:type="dcterms:W3CDTF">2026-10-29T17:36:49Z</dcterms:modified>
</cp:coreProperties>
</file>