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oles" state="visible" r:id="rId5"/>
    <sheet sheetId="3" name="Compensation Assumptions" state="visible" r:id="rId6"/>
    <sheet sheetId="4" name="Hiring Plan" state="visible" r:id="rId7"/>
    <sheet sheetId="5" name="Headcount Forecast" state="visible" r:id="rId8"/>
    <sheet sheetId="6" name="Cost Summary" state="visible" r:id="rId9"/>
  </sheets>
  <calcPr calcId="171027"/>
</workbook>
</file>

<file path=xl/sharedStrings.xml><?xml version="1.0" encoding="utf-8"?>
<sst xmlns="http://schemas.openxmlformats.org/spreadsheetml/2006/main" count="237" uniqueCount="155">
  <si>
    <t>Headcount Planning Model</t>
  </si>
  <si>
    <t>Purpose</t>
  </si>
  <si>
    <t>This workbook plans headcount and hiring cost across a 12-month year: define each role and its current headcount, set compensation assumptions per role, list planned hires by month, then review the rolled-up monthly headcount forecast and hiring cost summary. Replace the sample roles, compensation, and planned hires with your own — every calculated field updates automatically.</t>
  </si>
  <si>
    <t>Clean-room disclosure</t>
  </si>
  <si>
    <t>Clean-room disclosure: every formula, layout, sample role, compensation figure, planned hire, and forecast number in this workbook was authored from scratch for excel.tv. No vendor workbook, template, branding, or sample dataset was downloaded, inspected, or adapted in building this file. All data shown is synthetic and for illustration only.</t>
  </si>
  <si>
    <t>What’s in this workbook</t>
  </si>
  <si>
    <t>Roles</t>
  </si>
  <si>
    <t>The master role list: Role ID, Role Title, Department, Level, Employment Type, Current Headcount, and Notes.</t>
  </si>
  <si>
    <t>Compensation Assumptions</t>
  </si>
  <si>
    <t>Base salary, bonus %, benefits load %, employer tax %, and one-time recruiting cost per role. Fully Loaded Annual Cost is calculated automatically.</t>
  </si>
  <si>
    <t>Hiring Plan</t>
  </si>
  <si>
    <t>One row per planned hire: role, planned start month, and status. Role Title, Department, and Fully Loaded Annual Cost are looked up automatically, and Year 1 Prorated Cost accounts for a partial first year.</t>
  </si>
  <si>
    <t>Headcount Forecast</t>
  </si>
  <si>
    <t>The output sheet: current headcount plus cumulative planned hires by department, for each of the 12 months, plus a company total and a monthly net-new-hires row.</t>
  </si>
  <si>
    <t>Cost Summary</t>
  </si>
  <si>
    <t>The output sheet: planned new hires, fully loaded cost, and Year 1 prorated cost by role, a portfolio total, and the top three roles by Year 1 hiring cost.</t>
  </si>
  <si>
    <t>How to use this workbook</t>
  </si>
  <si>
    <t>1. Open Roles and replace the sample roles with your own. Keep each Role ID unique; every other sheet looks up or rolls up by this field.</t>
  </si>
  <si>
    <t>2. Open Compensation Assumptions and enter base salary, bonus %, benefits load %, employer tax %, and one-time recruiting cost for each Role ID.</t>
  </si>
  <si>
    <t>3. Open Hiring Plan and add one row per planned hire: choose a Role ID, a planned start month (1-12), and a status.</t>
  </si>
  <si>
    <t>4. Open Headcount Forecast to review projected headcount by department for each month of the plan year.</t>
  </si>
  <si>
    <t>5. Open Cost Summary to review planned new hires, fully loaded cost, and Year 1 prorated cost by role, and which roles need the largest hiring budget.</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</si>
  <si>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</si>
  <si>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</si>
  <si>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</si>
  <si>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</si>
  <si>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</si>
  <si>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</si>
  <si>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Every formula in this workbook (SUM, SUMIF, SUMIFS, COUNTIF, COUNTIFS, IF, IFERROR, INDEX, MATCH, MAX, MIN, ROUND, LARGE, and arithmetic) is natively supported in Google Sheets, so no formula substitutions are required. Dropdown validation for Role ID, Department, Level, Employment Type, and Status carries over on import.</t>
  </si>
  <si>
    <t>Limitations</t>
  </si>
  <si>
    <t>This workbook models a single 12-month plan year and does not handle multi-year plans, mid-year compensation changes, or attrition — Current Headcount on Roles is a fixed starting point, not a rolling actuals feed. Planned Start Month is a whole month number (1-12), so a hire is treated as active for the full remainder of that month. Rows with a status of "On Hold" are excluded from both the headcount forecast and the cost summary; change a row’s status back to include it again. The top-three ranking on Cost Summary uses LARGE plus MATCH, which returns the first matching role when two roles tie exactly on Year 1 Prorated Cost. No macros, external links, or data connections are used.</t>
  </si>
  <si>
    <t>★ Free template from Excel.TV — get more free Excel &amp; Google Sheets templates →</t>
  </si>
  <si>
    <t>Enter one row per role. Role ID must stay unique because Compensation Assumptions, Hiring Plan, Headcount Forecast, and Cost Summary all look up or roll up by this field.</t>
  </si>
  <si>
    <t>Role ID</t>
  </si>
  <si>
    <t>Role Title</t>
  </si>
  <si>
    <t>Department</t>
  </si>
  <si>
    <t>Level</t>
  </si>
  <si>
    <t>Employment Type</t>
  </si>
  <si>
    <t>Current Headcount</t>
  </si>
  <si>
    <t>Notes</t>
  </si>
  <si>
    <t>ENG-SWE</t>
  </si>
  <si>
    <t>Software Engineer</t>
  </si>
  <si>
    <t>Engineering</t>
  </si>
  <si>
    <t>Mid</t>
  </si>
  <si>
    <t>FTE</t>
  </si>
  <si>
    <t>Product engineering pod, generalist full-stack.</t>
  </si>
  <si>
    <t>ENG-SR-SWE</t>
  </si>
  <si>
    <t>Senior Software Engineer</t>
  </si>
  <si>
    <t>Senior</t>
  </si>
  <si>
    <t>Owns platform reliability and mentors mid-level engineers.</t>
  </si>
  <si>
    <t>ENG-MGR</t>
  </si>
  <si>
    <t>Engineering Manager</t>
  </si>
  <si>
    <t>Manager</t>
  </si>
  <si>
    <t>Manages one product pod each.</t>
  </si>
  <si>
    <t>SAL-AE</t>
  </si>
  <si>
    <t>Account Executive</t>
  </si>
  <si>
    <t>Sales</t>
  </si>
  <si>
    <t>Closes new-logo deals in the core segment.</t>
  </si>
  <si>
    <t>SAL-SDR</t>
  </si>
  <si>
    <t>Sales Development Rep</t>
  </si>
  <si>
    <t>Entry</t>
  </si>
  <si>
    <t>Sources and qualifies pipeline for Account Executives.</t>
  </si>
  <si>
    <t>SUP-REP</t>
  </si>
  <si>
    <t>Customer Support Rep</t>
  </si>
  <si>
    <t>Customer Support</t>
  </si>
  <si>
    <t>Front-line ticket and chat coverage.</t>
  </si>
  <si>
    <t>SUP-LEAD</t>
  </si>
  <si>
    <t>Support Team Lead</t>
  </si>
  <si>
    <t>Lead</t>
  </si>
  <si>
    <t>Escalation owner and shift scheduling.</t>
  </si>
  <si>
    <t>MKT-MGR</t>
  </si>
  <si>
    <t>Marketing Manager</t>
  </si>
  <si>
    <t>Marketing</t>
  </si>
  <si>
    <t>Owns campaign calendar and budget.</t>
  </si>
  <si>
    <t>MKT-SPEC</t>
  </si>
  <si>
    <t>Marketing Specialist</t>
  </si>
  <si>
    <t>Contractor</t>
  </si>
  <si>
    <t>Content and lifecycle email, contract renewed quarterly.</t>
  </si>
  <si>
    <t>OPS-ANL</t>
  </si>
  <si>
    <t>Operations Analyst</t>
  </si>
  <si>
    <t>Operations</t>
  </si>
  <si>
    <t>Reporting, vendor management, and process documentation.</t>
  </si>
  <si>
    <t>Enter compensation assumptions per Role ID. Role Title, Department, Fully Loaded Annual Cost, and First-Year Cost Including Recruiting are calculated automatically.</t>
  </si>
  <si>
    <t>Base Salary</t>
  </si>
  <si>
    <t>Bonus %</t>
  </si>
  <si>
    <t>Benefits Load %</t>
  </si>
  <si>
    <t>Employer Tax %</t>
  </si>
  <si>
    <t>One-Time Recruiting Cost</t>
  </si>
  <si>
    <t>Fully Loaded Annual Cost</t>
  </si>
  <si>
    <t>First-Year Cost Incl. Recruiting</t>
  </si>
  <si>
    <t>Enter one row per planned hire. Role Title, Department, and Fully Loaded Annual Cost are looked up automatically. Rows with Status "On Hold" are excluded from Headcount Forecast and Cost Summary.</t>
  </si>
  <si>
    <t>Hire ID</t>
  </si>
  <si>
    <t>Planned Start Month</t>
  </si>
  <si>
    <t>Status</t>
  </si>
  <si>
    <t>Months Active This Plan Year</t>
  </si>
  <si>
    <t>Year 1 Prorated Cost</t>
  </si>
  <si>
    <t>HP-01</t>
  </si>
  <si>
    <t>Hired</t>
  </si>
  <si>
    <t>Backfill for internal transfer to platform team.</t>
  </si>
  <si>
    <t>HP-02</t>
  </si>
  <si>
    <t>Planned</t>
  </si>
  <si>
    <t>New pod headcount pending Q2 roadmap approval.</t>
  </si>
  <si>
    <t>HP-03</t>
  </si>
  <si>
    <t>Offer Extended</t>
  </si>
  <si>
    <t>Reliability hire; offer pending background check.</t>
  </si>
  <si>
    <t>HP-04</t>
  </si>
  <si>
    <t>Third pod stands up once ENG-02/05 land.</t>
  </si>
  <si>
    <t>HP-05</t>
  </si>
  <si>
    <t>Replaces a Q4 regretted departure.</t>
  </si>
  <si>
    <t>HP-06</t>
  </si>
  <si>
    <t>Interviewing</t>
  </si>
  <si>
    <t>Expansion hire for the mid-market segment.</t>
  </si>
  <si>
    <t>HP-07</t>
  </si>
  <si>
    <t>Keeps SDR-to-AE ratio at plan.</t>
  </si>
  <si>
    <t>HP-08</t>
  </si>
  <si>
    <t>Second SDR cohort for H2 pipeline target.</t>
  </si>
  <si>
    <t>HP-09</t>
  </si>
  <si>
    <t>Coverage for extended support hours.</t>
  </si>
  <si>
    <t>HP-10</t>
  </si>
  <si>
    <t>On Hold</t>
  </si>
  <si>
    <t>Paused pending Q3 ticket-volume review.</t>
  </si>
  <si>
    <t>HP-11</t>
  </si>
  <si>
    <t>Second contractor for content production.</t>
  </si>
  <si>
    <t>HP-12</t>
  </si>
  <si>
    <t>Supports new vendor-onboarding workload.</t>
  </si>
  <si>
    <t>HP-13</t>
  </si>
  <si>
    <t>Second shift lead as headcount grows.</t>
  </si>
  <si>
    <t>Headcount Planning Model — Headcount Forecast</t>
  </si>
  <si>
    <t>This sheet is calculated from Roles and Hiring Plan. Current Headcount sums Roles by department; each month adds cumulative planned hires with a start month on or before that month, excluding any row with Status "On Hold". Edit the input sheets; do not overwrite the formulas here.</t>
  </si>
  <si>
    <t>Jan</t>
  </si>
  <si>
    <t>Feb</t>
  </si>
  <si>
    <t>Mar</t>
  </si>
  <si>
    <t>Apr</t>
  </si>
  <si>
    <t>May</t>
  </si>
  <si>
    <t>Jun</t>
  </si>
  <si>
    <t>Jul</t>
  </si>
  <si>
    <t>Aug</t>
  </si>
  <si>
    <t>Sep</t>
  </si>
  <si>
    <t>Oct</t>
  </si>
  <si>
    <t>Nov</t>
  </si>
  <si>
    <t>Dec</t>
  </si>
  <si>
    <t>Company Total</t>
  </si>
  <si>
    <t>Net New Hires (Monthly)</t>
  </si>
  <si>
    <t>Headcount Planning Model — Cost Summary</t>
  </si>
  <si>
    <t>This sheet is calculated from Roles, Compensation Assumptions, and Hiring Plan. Edit the input sheets; do not overwrite the formulas here. Rows with Status "On Hold" on Hiring Plan are excluded from Planned New Hires and Total Year 1 Prorated Cost.</t>
  </si>
  <si>
    <t>Planned New Hires</t>
  </si>
  <si>
    <t>Avg Fully Loaded Annual Cost</t>
  </si>
  <si>
    <t>Total Fully Loaded Annual Cost</t>
  </si>
  <si>
    <t>Total Year 1 Prorated Cost</t>
  </si>
  <si>
    <t>% of Total Year 1 Hiring Cost</t>
  </si>
  <si>
    <t>Portfolio Total</t>
  </si>
  <si>
    <t>Top 3 roles by Year 1 Prorated Cost</t>
  </si>
  <si>
    <t>Rank</t>
  </si>
  <si>
    <t>Role</t>
  </si>
  <si>
    <t>Year 1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</si>
</sst>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42">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vertical="center"/>
    </xf>
    <xf numFmtId="3" fontId="0" fillId="2" borderId="1" xfId="0" applyNumberFormat="1" applyFill="1" applyBorder="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164" fontId="0" fillId="2" borderId="1" xfId="0" applyNumberFormat="1" applyFill="1" applyBorder="1" applyAlignment="1">
      <alignment vertical="center"/>
    </xf>
    <xf numFmtId="165" fontId="0" fillId="2" borderId="1" xfId="0" applyNumberFormat="1" applyFill="1" applyBorder="1" applyAlignment="1">
      <alignment horizontal="center" vertical="center"/>
    </xf>
    <xf numFmtId="164" fontId="0" fillId="2" borderId="1" xfId="0" applyNumberFormat="1" applyFill="1" applyBorder="1" applyAlignment="1">
      <alignment vertical="center" wrapText="1"/>
    </xf>
    <xf numFmtId="164" fontId="4" fillId="3" borderId="1" xfId="0" applyNumberFormat="1" applyFont="1" applyFill="1" applyBorder="1" applyAlignment="1">
      <alignment vertical="center" wrapText="1"/>
    </xf>
    <xf numFmtId="164" fontId="0" fillId="3" borderId="1" xfId="0" applyNumberFormat="1" applyFill="1" applyBorder="1" applyAlignment="1">
      <alignment vertical="center" wrapText="1"/>
    </xf>
    <xf numFmtId="3" fontId="0" fillId="3" borderId="1" xfId="0" applyNumberFormat="1" applyFill="1" applyBorder="1" applyAlignment="1">
      <alignment horizontal="center" vertical="center" wrapText="1"/>
    </xf>
    <xf numFmtId="0" fontId="1" fillId="0" borderId="0" xfId="0" applyFont="1"/>
    <xf numFmtId="0" fontId="4" fillId="0" borderId="0" xfId="0" applyFont="1" applyAlignment="1">
      <alignment vertical="center"/>
    </xf>
    <xf numFmtId="3" fontId="4" fillId="3" borderId="1" xfId="0" applyNumberFormat="1" applyFont="1" applyFill="1" applyBorder="1" applyAlignment="1">
      <alignment horizontal="center" vertical="center"/>
    </xf>
    <xf numFmtId="3" fontId="0" fillId="3" borderId="1" xfId="0" applyNumberFormat="1" applyFill="1" applyBorder="1" applyAlignment="1">
      <alignment horizontal="center" vertical="center"/>
    </xf>
    <xf numFmtId="0" fontId="4" fillId="0" borderId="0" xfId="0" applyFont="1"/>
    <xf numFmtId="3" fontId="4" fillId="4" borderId="1" xfId="0" applyNumberFormat="1" applyFont="1" applyFill="1" applyBorder="1" applyAlignment="1">
      <alignment horizontal="center" vertical="center"/>
    </xf>
    <xf numFmtId="0" fontId="3" fillId="0" borderId="0" xfId="0" applyFont="1"/>
    <xf numFmtId="0" fontId="7" fillId="4" borderId="0" xfId="0" applyFont="1" applyFill="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164" fontId="0" fillId="3" borderId="1" xfId="0" applyNumberFormat="1" applyFill="1" applyBorder="1" applyAlignment="1">
      <alignment horizontal="center" vertical="center"/>
    </xf>
    <xf numFmtId="164" fontId="4" fillId="3" borderId="1" xfId="0" applyNumberFormat="1" applyFont="1" applyFill="1" applyBorder="1" applyAlignment="1">
      <alignment horizontal="center" vertical="center"/>
    </xf>
    <xf numFmtId="165" fontId="0" fillId="3" borderId="1" xfId="0" applyNumberFormat="1" applyFill="1" applyBorder="1" applyAlignment="1">
      <alignment horizontal="center" vertical="center"/>
    </xf>
    <xf numFmtId="164" fontId="4"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0" fontId="0" fillId="0" borderId="0" xfId="0" applyAlignment="1">
      <alignment horizontal="center"/>
    </xf>
    <xf numFmtId="0" fontId="0" fillId="4" borderId="1" xfId="0" applyFill="1" applyBorder="1" applyAlignment="1">
      <alignment vertical="center" wrapText="1"/>
    </xf>
    <xf numFmtId="164" fontId="0" fillId="4" borderId="1"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headcount-planning-mode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headcount-planning-mode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headcount-planning-mod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4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spans="1:6" x14ac:dyDescent="0.25">
      <c r="A22" s="2"/>
      <c r="B22" s="2"/>
      <c r="C22" s="2"/>
      <c r="D22" s="2"/>
      <c r="E22" s="2"/>
      <c r="F22" s="2"/>
    </row>
    <row r="23" spans="1:6" x14ac:dyDescent="0.25">
      <c r="A23" s="3" t="s">
        <v>22</v>
      </c>
      <c r="B23" s="3"/>
      <c r="C23" s="3"/>
      <c r="D23" s="3"/>
      <c r="E23" s="3"/>
      <c r="F23" s="3"/>
    </row>
    <row r="24" spans="1:6" x14ac:dyDescent="0.25">
      <c r="A24" s="5" t="s">
        <v>22</v>
      </c>
      <c r="B24" s="2"/>
      <c r="C24" s="2"/>
      <c r="D24" s="2"/>
      <c r="E24" s="2"/>
      <c r="F24" s="2"/>
    </row>
    <row r="25" spans="1:6" x14ac:dyDescent="0.25">
      <c r="A25" s="6" t="s">
        <v>23</v>
      </c>
      <c r="B25" s="7" t="s">
        <v>24</v>
      </c>
      <c r="C25" s="2"/>
      <c r="D25" s="2"/>
      <c r="E25" s="2"/>
      <c r="F25" s="2"/>
    </row>
    <row r="26" spans="1:6" x14ac:dyDescent="0.25">
      <c r="A26" s="8" t="s">
        <v>23</v>
      </c>
      <c r="B26" s="7" t="s">
        <v>25</v>
      </c>
      <c r="C26" s="2"/>
      <c r="D26" s="2"/>
      <c r="E26" s="2"/>
      <c r="F26" s="2"/>
    </row>
    <row r="27" spans="1:6" x14ac:dyDescent="0.25">
      <c r="A27" s="9" t="s">
        <v>23</v>
      </c>
      <c r="B27" s="7" t="s">
        <v>26</v>
      </c>
      <c r="C27" s="2"/>
      <c r="D27" s="2"/>
      <c r="E27" s="2"/>
      <c r="F27" s="2"/>
    </row>
    <row r="28" spans="1:6" x14ac:dyDescent="0.25">
      <c r="A28" s="2"/>
      <c r="B28" s="2"/>
      <c r="C28" s="2"/>
      <c r="D28" s="2"/>
      <c r="E28" s="2"/>
      <c r="F28" s="2"/>
    </row>
    <row r="29" spans="1:6" x14ac:dyDescent="0.25">
      <c r="A29" s="3" t="s">
        <v>27</v>
      </c>
      <c r="B29" s="3"/>
      <c r="C29" s="3"/>
      <c r="D29" s="3"/>
      <c r="E29" s="3"/>
      <c r="F29" s="3"/>
    </row>
    <row r="30" ht="60" customHeight="1" spans="1:6" x14ac:dyDescent="0.25">
      <c r="A30" s="2" t="s">
        <v>28</v>
      </c>
      <c r="B30" s="2"/>
      <c r="C30" s="2"/>
      <c r="D30" s="2"/>
      <c r="E30" s="2"/>
      <c r="F30" s="2"/>
    </row>
    <row r="31" spans="1:6" x14ac:dyDescent="0.25">
      <c r="A31" s="2"/>
      <c r="B31" s="2"/>
      <c r="C31" s="2"/>
      <c r="D31" s="2"/>
      <c r="E31" s="2"/>
      <c r="F31" s="2"/>
    </row>
    <row r="32" spans="1:6" x14ac:dyDescent="0.25">
      <c r="A32" s="3" t="s">
        <v>29</v>
      </c>
      <c r="B32" s="3"/>
      <c r="C32" s="3"/>
      <c r="D32" s="3"/>
      <c r="E32" s="3"/>
      <c r="F32" s="3"/>
    </row>
    <row r="33" ht="90" customHeight="1" spans="1:6" x14ac:dyDescent="0.25">
      <c r="A33" s="2" t="s">
        <v>30</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31</v>
      </c>
      <c r="B36" s="10"/>
      <c r="C36" s="10"/>
      <c r="D36" s="10"/>
      <c r="E36" s="10"/>
      <c r="F36"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26" customWidth="1"/>
    <col min="3" max="3" width="18" customWidth="1"/>
    <col min="4" max="4" width="12" customWidth="1"/>
    <col min="5" max="6" width="16" customWidth="1"/>
    <col min="7" max="7" width="44" customWidth="1"/>
  </cols>
  <sheetData>
    <row r="1" ht="30" customHeight="1" spans="1:7" x14ac:dyDescent="0.25">
      <c r="A1" s="2" t="s">
        <v>32</v>
      </c>
      <c r="B1" s="2"/>
      <c r="C1" s="2"/>
      <c r="D1" s="2"/>
      <c r="E1" s="2"/>
      <c r="F1" s="2"/>
      <c r="G1" s="2"/>
    </row>
    <row r="2" spans="2:7" x14ac:dyDescent="0.25">
      <c r="B2" s="2"/>
      <c r="G2" s="2"/>
    </row>
    <row r="3" ht="30" customHeight="1" spans="1:7" x14ac:dyDescent="0.25">
      <c r="A3" s="11" t="s">
        <v>33</v>
      </c>
      <c r="B3" s="11" t="s">
        <v>34</v>
      </c>
      <c r="C3" s="11" t="s">
        <v>35</v>
      </c>
      <c r="D3" s="11" t="s">
        <v>36</v>
      </c>
      <c r="E3" s="11" t="s">
        <v>37</v>
      </c>
      <c r="F3" s="11" t="s">
        <v>38</v>
      </c>
      <c r="G3" s="11" t="s">
        <v>39</v>
      </c>
    </row>
    <row r="4" ht="30" customHeight="1" spans="1:7" x14ac:dyDescent="0.25">
      <c r="A4" s="12" t="s">
        <v>40</v>
      </c>
      <c r="B4" s="13" t="s">
        <v>41</v>
      </c>
      <c r="C4" s="14" t="s">
        <v>42</v>
      </c>
      <c r="D4" s="12" t="s">
        <v>43</v>
      </c>
      <c r="E4" s="12" t="s">
        <v>44</v>
      </c>
      <c r="F4" s="15">
        <v>8</v>
      </c>
      <c r="G4" s="13" t="s">
        <v>45</v>
      </c>
    </row>
    <row r="5" ht="30" customHeight="1" spans="1:7" x14ac:dyDescent="0.25">
      <c r="A5" s="12" t="s">
        <v>46</v>
      </c>
      <c r="B5" s="13" t="s">
        <v>47</v>
      </c>
      <c r="C5" s="14" t="s">
        <v>42</v>
      </c>
      <c r="D5" s="12" t="s">
        <v>48</v>
      </c>
      <c r="E5" s="12" t="s">
        <v>44</v>
      </c>
      <c r="F5" s="15">
        <v>5</v>
      </c>
      <c r="G5" s="13" t="s">
        <v>49</v>
      </c>
    </row>
    <row r="6" ht="15" customHeight="1" spans="1:7" x14ac:dyDescent="0.25">
      <c r="A6" s="12" t="s">
        <v>50</v>
      </c>
      <c r="B6" s="13" t="s">
        <v>51</v>
      </c>
      <c r="C6" s="14" t="s">
        <v>42</v>
      </c>
      <c r="D6" s="12" t="s">
        <v>52</v>
      </c>
      <c r="E6" s="12" t="s">
        <v>44</v>
      </c>
      <c r="F6" s="15">
        <v>2</v>
      </c>
      <c r="G6" s="13" t="s">
        <v>53</v>
      </c>
    </row>
    <row r="7" ht="15" customHeight="1" spans="1:7" x14ac:dyDescent="0.25">
      <c r="A7" s="12" t="s">
        <v>54</v>
      </c>
      <c r="B7" s="13" t="s">
        <v>55</v>
      </c>
      <c r="C7" s="14" t="s">
        <v>56</v>
      </c>
      <c r="D7" s="12" t="s">
        <v>43</v>
      </c>
      <c r="E7" s="12" t="s">
        <v>44</v>
      </c>
      <c r="F7" s="15">
        <v>6</v>
      </c>
      <c r="G7" s="13" t="s">
        <v>57</v>
      </c>
    </row>
    <row r="8" ht="30" customHeight="1" spans="1:7" x14ac:dyDescent="0.25">
      <c r="A8" s="12" t="s">
        <v>58</v>
      </c>
      <c r="B8" s="13" t="s">
        <v>59</v>
      </c>
      <c r="C8" s="14" t="s">
        <v>56</v>
      </c>
      <c r="D8" s="12" t="s">
        <v>60</v>
      </c>
      <c r="E8" s="12" t="s">
        <v>44</v>
      </c>
      <c r="F8" s="15">
        <v>4</v>
      </c>
      <c r="G8" s="13" t="s">
        <v>61</v>
      </c>
    </row>
    <row r="9" ht="15" customHeight="1" spans="1:7" x14ac:dyDescent="0.25">
      <c r="A9" s="12" t="s">
        <v>62</v>
      </c>
      <c r="B9" s="13" t="s">
        <v>63</v>
      </c>
      <c r="C9" s="14" t="s">
        <v>64</v>
      </c>
      <c r="D9" s="12" t="s">
        <v>60</v>
      </c>
      <c r="E9" s="12" t="s">
        <v>44</v>
      </c>
      <c r="F9" s="15">
        <v>7</v>
      </c>
      <c r="G9" s="13" t="s">
        <v>65</v>
      </c>
    </row>
    <row r="10" ht="15" customHeight="1" spans="1:7" x14ac:dyDescent="0.25">
      <c r="A10" s="12" t="s">
        <v>66</v>
      </c>
      <c r="B10" s="13" t="s">
        <v>67</v>
      </c>
      <c r="C10" s="14" t="s">
        <v>64</v>
      </c>
      <c r="D10" s="12" t="s">
        <v>68</v>
      </c>
      <c r="E10" s="12" t="s">
        <v>44</v>
      </c>
      <c r="F10" s="15">
        <v>1</v>
      </c>
      <c r="G10" s="13" t="s">
        <v>69</v>
      </c>
    </row>
    <row r="11" ht="15" customHeight="1" spans="1:7" x14ac:dyDescent="0.25">
      <c r="A11" s="12" t="s">
        <v>70</v>
      </c>
      <c r="B11" s="13" t="s">
        <v>71</v>
      </c>
      <c r="C11" s="14" t="s">
        <v>72</v>
      </c>
      <c r="D11" s="12" t="s">
        <v>52</v>
      </c>
      <c r="E11" s="12" t="s">
        <v>44</v>
      </c>
      <c r="F11" s="15">
        <v>1</v>
      </c>
      <c r="G11" s="13" t="s">
        <v>73</v>
      </c>
    </row>
    <row r="12" ht="30" customHeight="1" spans="1:7" x14ac:dyDescent="0.25">
      <c r="A12" s="12" t="s">
        <v>74</v>
      </c>
      <c r="B12" s="13" t="s">
        <v>75</v>
      </c>
      <c r="C12" s="14" t="s">
        <v>72</v>
      </c>
      <c r="D12" s="12" t="s">
        <v>43</v>
      </c>
      <c r="E12" s="12" t="s">
        <v>76</v>
      </c>
      <c r="F12" s="15">
        <v>2</v>
      </c>
      <c r="G12" s="13" t="s">
        <v>77</v>
      </c>
    </row>
    <row r="13" ht="30" customHeight="1" spans="1:7" x14ac:dyDescent="0.25">
      <c r="A13" s="12" t="s">
        <v>78</v>
      </c>
      <c r="B13" s="13" t="s">
        <v>79</v>
      </c>
      <c r="C13" s="14" t="s">
        <v>80</v>
      </c>
      <c r="D13" s="12" t="s">
        <v>43</v>
      </c>
      <c r="E13" s="12" t="s">
        <v>44</v>
      </c>
      <c r="F13" s="15">
        <v>3</v>
      </c>
      <c r="G13" s="13" t="s">
        <v>81</v>
      </c>
    </row>
  </sheetData>
  <mergeCells count="1">
    <mergeCell ref="A1:G1"/>
  </mergeCells>
  <dataValidations count="8">
    <dataValidation type="list" showErrorMessage="1" errorTitle="Invalid department" error="Choose one of: Engineering, Sales, Customer Support, Marketing, Operations" sqref="C10:C13">
      <formula1>"Engineering,Sales,Customer Support,Marketing,Operations"</formula1>
    </dataValidation>
    <dataValidation type="list" showErrorMessage="1" errorTitle="Invalid department" error="Choose one of: Engineering, Sales, Customer Support, Marketing, Operations" sqref="C4:C13">
      <formula1>"Engineering,Sales,Customer Support,Marketing,Operations"</formula1>
    </dataValidation>
    <dataValidation type="list" showErrorMessage="1" errorTitle="Invalid level" error="Choose one of: Entry, Mid, Senior, Lead, Manager, Director" sqref="D10:D13">
      <formula1>"Entry,Mid,Senior,Lead,Manager,Director"</formula1>
    </dataValidation>
    <dataValidation type="list" showErrorMessage="1" errorTitle="Invalid level" error="Choose one of: Entry, Mid, Senior, Lead, Manager, Director" sqref="D4:D13">
      <formula1>"Entry,Mid,Senior,Lead,Manager,Director"</formula1>
    </dataValidation>
    <dataValidation type="list" showErrorMessage="1" errorTitle="Invalid employment type" error="Choose one of: FTE, Contractor" sqref="E10:E13">
      <formula1>"FTE,Contractor"</formula1>
    </dataValidation>
    <dataValidation type="list" showErrorMessage="1" errorTitle="Invalid employment type" error="Choose one of: FTE, Contractor" sqref="E4:E13">
      <formula1>"FTE,Contractor"</formula1>
    </dataValidation>
    <dataValidation type="decimal" allowBlank="1" showErrorMessage="1" errorTitle="Invalid number" error="Enter a number between 0 and 500" sqref="F10:F13">
      <formula1>0</formula1>
      <formula2>500</formula2>
    </dataValidation>
    <dataValidation type="decimal" allowBlank="1" showErrorMessage="1" errorTitle="Invalid number" error="Enter a number between 0 and 500" sqref="F4:F13">
      <formula1>0</formula1>
      <formula2>500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26" customWidth="1"/>
    <col min="3" max="3" width="18" customWidth="1"/>
    <col min="4" max="4" width="14" customWidth="1"/>
    <col min="5" max="5" width="11" customWidth="1"/>
    <col min="6" max="6" width="15" customWidth="1"/>
    <col min="7" max="7" width="14" customWidth="1"/>
    <col min="8" max="10" width="18" customWidth="1"/>
  </cols>
  <sheetData>
    <row r="1" ht="30" customHeight="1" spans="1:10" x14ac:dyDescent="0.25">
      <c r="A1" s="2" t="s">
        <v>82</v>
      </c>
      <c r="B1" s="2"/>
      <c r="C1" s="2"/>
      <c r="D1" s="2"/>
      <c r="E1" s="2"/>
      <c r="F1" s="2"/>
      <c r="G1" s="2"/>
      <c r="H1" s="2"/>
      <c r="I1" s="2"/>
      <c r="J1" s="2"/>
    </row>
    <row r="2" spans="2:10" x14ac:dyDescent="0.25">
      <c r="B2" s="2"/>
      <c r="H2" s="2"/>
      <c r="I2" s="2"/>
      <c r="J2" s="2"/>
    </row>
    <row r="3" ht="30" customHeight="1" spans="1:10" x14ac:dyDescent="0.25">
      <c r="A3" s="11" t="s">
        <v>33</v>
      </c>
      <c r="B3" s="11" t="s">
        <v>34</v>
      </c>
      <c r="C3" s="11" t="s">
        <v>35</v>
      </c>
      <c r="D3" s="11" t="s">
        <v>83</v>
      </c>
      <c r="E3" s="11" t="s">
        <v>84</v>
      </c>
      <c r="F3" s="11" t="s">
        <v>85</v>
      </c>
      <c r="G3" s="11" t="s">
        <v>86</v>
      </c>
      <c r="H3" s="11" t="s">
        <v>87</v>
      </c>
      <c r="I3" s="11" t="s">
        <v>88</v>
      </c>
      <c r="J3" s="11" t="s">
        <v>89</v>
      </c>
    </row>
    <row r="4" spans="1:10" x14ac:dyDescent="0.25">
      <c r="A4" s="12" t="s">
        <v>40</v>
      </c>
      <c r="B4" s="16">
        <f>IFERROR(INDEX('Roles'!$B$4:$B$13,MATCH($A4,'Roles'!$A$4:$A$13,0)),"(unknown role)")</f>
      </c>
      <c r="C4" s="17">
        <f>IFERROR(INDEX('Roles'!$C$4:$C$13,MATCH($A4,'Roles'!$A$4:$A$13,0)),"(unknown department)")</f>
      </c>
      <c r="D4" s="18">
        <v>125000</v>
      </c>
      <c r="E4" s="19">
        <v>0.1</v>
      </c>
      <c r="F4" s="19">
        <v>0.18</v>
      </c>
      <c r="G4" s="19">
        <v>0.08</v>
      </c>
      <c r="H4" s="20">
        <v>8000</v>
      </c>
      <c r="I4" s="21">
        <f>ROUND(D4*(1+E4)+D4*(F4+G4),0)</f>
      </c>
      <c r="J4" s="22">
        <f>I4+H4</f>
      </c>
    </row>
    <row r="5" spans="1:10" x14ac:dyDescent="0.25">
      <c r="A5" s="12" t="s">
        <v>46</v>
      </c>
      <c r="B5" s="16">
        <f>IFERROR(INDEX('Roles'!$B$4:$B$13,MATCH($A5,'Roles'!$A$4:$A$13,0)),"(unknown role)")</f>
      </c>
      <c r="C5" s="17">
        <f>IFERROR(INDEX('Roles'!$C$4:$C$13,MATCH($A5,'Roles'!$A$4:$A$13,0)),"(unknown department)")</f>
      </c>
      <c r="D5" s="18">
        <v>155000</v>
      </c>
      <c r="E5" s="19">
        <v>0.12</v>
      </c>
      <c r="F5" s="19">
        <v>0.18</v>
      </c>
      <c r="G5" s="19">
        <v>0.08</v>
      </c>
      <c r="H5" s="20">
        <v>10000</v>
      </c>
      <c r="I5" s="21">
        <f>ROUND(D5*(1+E5)+D5*(F5+G5),0)</f>
      </c>
      <c r="J5" s="22">
        <f>I5+H5</f>
      </c>
    </row>
    <row r="6" spans="1:10" x14ac:dyDescent="0.25">
      <c r="A6" s="12" t="s">
        <v>50</v>
      </c>
      <c r="B6" s="16">
        <f>IFERROR(INDEX('Roles'!$B$4:$B$13,MATCH($A6,'Roles'!$A$4:$A$13,0)),"(unknown role)")</f>
      </c>
      <c r="C6" s="17">
        <f>IFERROR(INDEX('Roles'!$C$4:$C$13,MATCH($A6,'Roles'!$A$4:$A$13,0)),"(unknown department)")</f>
      </c>
      <c r="D6" s="18">
        <v>175000</v>
      </c>
      <c r="E6" s="19">
        <v>0.15</v>
      </c>
      <c r="F6" s="19">
        <v>0.18</v>
      </c>
      <c r="G6" s="19">
        <v>0.08</v>
      </c>
      <c r="H6" s="20">
        <v>12000</v>
      </c>
      <c r="I6" s="21">
        <f>ROUND(D6*(1+E6)+D6*(F6+G6),0)</f>
      </c>
      <c r="J6" s="22">
        <f>I6+H6</f>
      </c>
    </row>
    <row r="7" spans="1:10" x14ac:dyDescent="0.25">
      <c r="A7" s="12" t="s">
        <v>54</v>
      </c>
      <c r="B7" s="16">
        <f>IFERROR(INDEX('Roles'!$B$4:$B$13,MATCH($A7,'Roles'!$A$4:$A$13,0)),"(unknown role)")</f>
      </c>
      <c r="C7" s="17">
        <f>IFERROR(INDEX('Roles'!$C$4:$C$13,MATCH($A7,'Roles'!$A$4:$A$13,0)),"(unknown department)")</f>
      </c>
      <c r="D7" s="18">
        <v>90000</v>
      </c>
      <c r="E7" s="19">
        <v>0.4</v>
      </c>
      <c r="F7" s="19">
        <v>0.16</v>
      </c>
      <c r="G7" s="19">
        <v>0.08</v>
      </c>
      <c r="H7" s="20">
        <v>6000</v>
      </c>
      <c r="I7" s="21">
        <f>ROUND(D7*(1+E7)+D7*(F7+G7),0)</f>
      </c>
      <c r="J7" s="22">
        <f>I7+H7</f>
      </c>
    </row>
    <row r="8" spans="1:10" x14ac:dyDescent="0.25">
      <c r="A8" s="12" t="s">
        <v>58</v>
      </c>
      <c r="B8" s="16">
        <f>IFERROR(INDEX('Roles'!$B$4:$B$13,MATCH($A8,'Roles'!$A$4:$A$13,0)),"(unknown role)")</f>
      </c>
      <c r="C8" s="17">
        <f>IFERROR(INDEX('Roles'!$C$4:$C$13,MATCH($A8,'Roles'!$A$4:$A$13,0)),"(unknown department)")</f>
      </c>
      <c r="D8" s="18">
        <v>60000</v>
      </c>
      <c r="E8" s="19">
        <v>0.2</v>
      </c>
      <c r="F8" s="19">
        <v>0.16</v>
      </c>
      <c r="G8" s="19">
        <v>0.08</v>
      </c>
      <c r="H8" s="20">
        <v>4000</v>
      </c>
      <c r="I8" s="21">
        <f>ROUND(D8*(1+E8)+D8*(F8+G8),0)</f>
      </c>
      <c r="J8" s="22">
        <f>I8+H8</f>
      </c>
    </row>
    <row r="9" spans="1:10" x14ac:dyDescent="0.25">
      <c r="A9" s="12" t="s">
        <v>62</v>
      </c>
      <c r="B9" s="16">
        <f>IFERROR(INDEX('Roles'!$B$4:$B$13,MATCH($A9,'Roles'!$A$4:$A$13,0)),"(unknown role)")</f>
      </c>
      <c r="C9" s="17">
        <f>IFERROR(INDEX('Roles'!$C$4:$C$13,MATCH($A9,'Roles'!$A$4:$A$13,0)),"(unknown department)")</f>
      </c>
      <c r="D9" s="18">
        <v>52000</v>
      </c>
      <c r="E9" s="19">
        <v>0.05</v>
      </c>
      <c r="F9" s="19">
        <v>0.15</v>
      </c>
      <c r="G9" s="19">
        <v>0.08</v>
      </c>
      <c r="H9" s="20">
        <v>3000</v>
      </c>
      <c r="I9" s="21">
        <f>ROUND(D9*(1+E9)+D9*(F9+G9),0)</f>
      </c>
      <c r="J9" s="22">
        <f>I9+H9</f>
      </c>
    </row>
    <row r="10" spans="1:10" x14ac:dyDescent="0.25">
      <c r="A10" s="12" t="s">
        <v>66</v>
      </c>
      <c r="B10" s="16">
        <f>IFERROR(INDEX('Roles'!$B$4:$B$13,MATCH($A10,'Roles'!$A$4:$A$13,0)),"(unknown role)")</f>
      </c>
      <c r="C10" s="17">
        <f>IFERROR(INDEX('Roles'!$C$4:$C$13,MATCH($A10,'Roles'!$A$4:$A$13,0)),"(unknown department)")</f>
      </c>
      <c r="D10" s="18">
        <v>72000</v>
      </c>
      <c r="E10" s="19">
        <v>0.08</v>
      </c>
      <c r="F10" s="19">
        <v>0.15</v>
      </c>
      <c r="G10" s="19">
        <v>0.08</v>
      </c>
      <c r="H10" s="20">
        <v>4500</v>
      </c>
      <c r="I10" s="21">
        <f>ROUND(D10*(1+E10)+D10*(F10+G10),0)</f>
      </c>
      <c r="J10" s="22">
        <f>I10+H10</f>
      </c>
    </row>
    <row r="11" spans="1:10" x14ac:dyDescent="0.25">
      <c r="A11" s="12" t="s">
        <v>70</v>
      </c>
      <c r="B11" s="16">
        <f>IFERROR(INDEX('Roles'!$B$4:$B$13,MATCH($A11,'Roles'!$A$4:$A$13,0)),"(unknown role)")</f>
      </c>
      <c r="C11" s="17">
        <f>IFERROR(INDEX('Roles'!$C$4:$C$13,MATCH($A11,'Roles'!$A$4:$A$13,0)),"(unknown department)")</f>
      </c>
      <c r="D11" s="18">
        <v>110000</v>
      </c>
      <c r="E11" s="19">
        <v>0.1</v>
      </c>
      <c r="F11" s="19">
        <v>0.17</v>
      </c>
      <c r="G11" s="19">
        <v>0.08</v>
      </c>
      <c r="H11" s="20">
        <v>7000</v>
      </c>
      <c r="I11" s="21">
        <f>ROUND(D11*(1+E11)+D11*(F11+G11),0)</f>
      </c>
      <c r="J11" s="22">
        <f>I11+H11</f>
      </c>
    </row>
    <row r="12" spans="1:10" x14ac:dyDescent="0.25">
      <c r="A12" s="12" t="s">
        <v>74</v>
      </c>
      <c r="B12" s="16">
        <f>IFERROR(INDEX('Roles'!$B$4:$B$13,MATCH($A12,'Roles'!$A$4:$A$13,0)),"(unknown role)")</f>
      </c>
      <c r="C12" s="17">
        <f>IFERROR(INDEX('Roles'!$C$4:$C$13,MATCH($A12,'Roles'!$A$4:$A$13,0)),"(unknown department)")</f>
      </c>
      <c r="D12" s="18">
        <v>85000</v>
      </c>
      <c r="E12" s="19">
        <v>0</v>
      </c>
      <c r="F12" s="19">
        <v>0</v>
      </c>
      <c r="G12" s="19">
        <v>0</v>
      </c>
      <c r="H12" s="20">
        <v>2000</v>
      </c>
      <c r="I12" s="21">
        <f>ROUND(D12*(1+E12)+D12*(F12+G12),0)</f>
      </c>
      <c r="J12" s="22">
        <f>I12+H12</f>
      </c>
    </row>
    <row r="13" spans="1:10" x14ac:dyDescent="0.25">
      <c r="A13" s="12" t="s">
        <v>78</v>
      </c>
      <c r="B13" s="16">
        <f>IFERROR(INDEX('Roles'!$B$4:$B$13,MATCH($A13,'Roles'!$A$4:$A$13,0)),"(unknown role)")</f>
      </c>
      <c r="C13" s="17">
        <f>IFERROR(INDEX('Roles'!$C$4:$C$13,MATCH($A13,'Roles'!$A$4:$A$13,0)),"(unknown department)")</f>
      </c>
      <c r="D13" s="18">
        <v>78000</v>
      </c>
      <c r="E13" s="19">
        <v>0.08</v>
      </c>
      <c r="F13" s="19">
        <v>0.16</v>
      </c>
      <c r="G13" s="19">
        <v>0.08</v>
      </c>
      <c r="H13" s="20">
        <v>5000</v>
      </c>
      <c r="I13" s="21">
        <f>ROUND(D13*(1+E13)+D13*(F13+G13),0)</f>
      </c>
      <c r="J13" s="22">
        <f>I13+H13</f>
      </c>
    </row>
  </sheetData>
  <mergeCells count="1">
    <mergeCell ref="A1:J1"/>
  </mergeCells>
  <dataValidations count="8">
    <dataValidation type="list" showErrorMessage="1" errorTitle="Invalid role ID" error="Choose one of: ENG-SWE, ENG-SR-SWE, ENG-MGR, SAL-AE, SAL-SDR, SUP-REP, SUP-LEAD, MKT-MGR, MKT-SPEC, OPS-ANL" sqref="A10:A13">
      <formula1>"ENG-SWE,ENG-SR-SWE,ENG-MGR,SAL-AE,SAL-SDR,SUP-REP,SUP-LEAD,MKT-MGR,MKT-SPEC,OPS-ANL"</formula1>
    </dataValidation>
    <dataValidation type="list" showErrorMessage="1" errorTitle="Invalid role ID" error="Choose one of: ENG-SWE, ENG-SR-SWE, ENG-MGR, SAL-AE, SAL-SDR, SUP-REP, SUP-LEAD, MKT-MGR, MKT-SPEC, OPS-ANL" sqref="A4:A13">
      <formula1>"ENG-SWE,ENG-SR-SWE,ENG-MGR,SAL-AE,SAL-SDR,SUP-REP,SUP-LEAD,MKT-MGR,MKT-SPEC,OPS-ANL"</formula1>
    </dataValidation>
    <dataValidation type="decimal" allowBlank="1" showErrorMessage="1" errorTitle="Invalid number" error="Enter a number between 0 and 1000000" sqref="D10:D13">
      <formula1>0</formula1>
      <formula2>1000000</formula2>
    </dataValidation>
    <dataValidation type="decimal" allowBlank="1" showErrorMessage="1" errorTitle="Invalid number" error="Enter a number between 0 and 1000000" sqref="D4:D13">
      <formula1>0</formula1>
      <formula2>1000000</formula2>
    </dataValidation>
    <dataValidation type="decimal" allowBlank="1" showErrorMessage="1" errorTitle="Invalid number" error="Enter a number between 0 and 1" sqref="E10:G13">
      <formula1>0</formula1>
      <formula2>1</formula2>
    </dataValidation>
    <dataValidation type="decimal" allowBlank="1" showErrorMessage="1" errorTitle="Invalid number" error="Enter a number between 0 and 1" sqref="E4:G13">
      <formula1>0</formula1>
      <formula2>1</formula2>
    </dataValidation>
    <dataValidation type="decimal" allowBlank="1" showErrorMessage="1" errorTitle="Invalid number" error="Enter a number between 0 and 100000" sqref="H10:H13">
      <formula1>0</formula1>
      <formula2>100000</formula2>
    </dataValidation>
    <dataValidation type="decimal" allowBlank="1" showErrorMessage="1" errorTitle="Invalid number" error="Enter a number between 0 and 100000" sqref="H4:H13">
      <formula1>0</formula1>
      <formula2>100000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pane ySplit="3" topLeftCell="A4" activePane="bottomLeft" state="frozen"/>
      <selection pane="bottomLeft"/>
    </sheetView>
  </sheetViews>
  <sheetFormatPr defaultRowHeight="15" outlineLevelRow="0" outlineLevelCol="0" x14ac:dyDescent="55"/>
  <cols>
    <col min="1" max="2" width="12" customWidth="1"/>
    <col min="3" max="3" width="26" customWidth="1"/>
    <col min="4" max="4" width="18" customWidth="1"/>
    <col min="5" max="5" width="14" customWidth="1"/>
    <col min="6" max="6" width="15" customWidth="1"/>
    <col min="7" max="8" width="17" customWidth="1"/>
    <col min="9" max="9" width="16" customWidth="1"/>
    <col min="10" max="10" width="42" customWidth="1"/>
  </cols>
  <sheetData>
    <row r="1" ht="30" customHeight="1" spans="1:10" x14ac:dyDescent="0.25">
      <c r="A1" s="2" t="s">
        <v>90</v>
      </c>
      <c r="B1" s="2"/>
      <c r="C1" s="2"/>
      <c r="D1" s="2"/>
      <c r="E1" s="2"/>
      <c r="F1" s="2"/>
      <c r="G1" s="2"/>
      <c r="H1" s="2"/>
      <c r="I1" s="2"/>
      <c r="J1" s="2"/>
    </row>
    <row r="2" spans="3:10" x14ac:dyDescent="0.25">
      <c r="C2" s="2"/>
      <c r="G2" s="2"/>
      <c r="H2" s="2"/>
      <c r="I2" s="2"/>
      <c r="J2" s="2"/>
    </row>
    <row r="3" ht="30" customHeight="1" spans="1:10" x14ac:dyDescent="0.25">
      <c r="A3" s="11" t="s">
        <v>91</v>
      </c>
      <c r="B3" s="11" t="s">
        <v>33</v>
      </c>
      <c r="C3" s="11" t="s">
        <v>34</v>
      </c>
      <c r="D3" s="11" t="s">
        <v>35</v>
      </c>
      <c r="E3" s="11" t="s">
        <v>92</v>
      </c>
      <c r="F3" s="11" t="s">
        <v>93</v>
      </c>
      <c r="G3" s="11" t="s">
        <v>88</v>
      </c>
      <c r="H3" s="11" t="s">
        <v>94</v>
      </c>
      <c r="I3" s="11" t="s">
        <v>95</v>
      </c>
      <c r="J3" s="11" t="s">
        <v>39</v>
      </c>
    </row>
    <row r="4" ht="30" customHeight="1" spans="1:10" x14ac:dyDescent="0.25">
      <c r="A4" s="12" t="s">
        <v>96</v>
      </c>
      <c r="B4" s="12" t="s">
        <v>40</v>
      </c>
      <c r="C4" s="16">
        <f>IFERROR(INDEX('Roles'!$B$4:$B$13,MATCH($B4,'Roles'!$A$4:$A$13,0)),"(unknown role)")</f>
      </c>
      <c r="D4" s="17">
        <f>IFERROR(INDEX('Roles'!$C$4:$C$13,MATCH($B4,'Roles'!$A$4:$A$13,0)),"(unknown department)")</f>
      </c>
      <c r="E4" s="15">
        <v>2</v>
      </c>
      <c r="F4" s="12" t="s">
        <v>97</v>
      </c>
      <c r="G4" s="22">
        <f>IFERROR(INDEX('Compensation Assumptions'!$I$4:$I$13,MATCH($B4,'Compensation Assumptions'!$A$4:$A$13,0)),0)</f>
      </c>
      <c r="H4" s="23">
        <f>MAX(0,MIN(12,13-E4))</f>
      </c>
      <c r="I4" s="21">
        <f>G4*H4/12</f>
      </c>
      <c r="J4" s="13" t="s">
        <v>98</v>
      </c>
    </row>
    <row r="5" ht="30" customHeight="1" spans="1:10" x14ac:dyDescent="0.25">
      <c r="A5" s="12" t="s">
        <v>99</v>
      </c>
      <c r="B5" s="12" t="s">
        <v>40</v>
      </c>
      <c r="C5" s="16">
        <f>IFERROR(INDEX('Roles'!$B$4:$B$13,MATCH($B5,'Roles'!$A$4:$A$13,0)),"(unknown role)")</f>
      </c>
      <c r="D5" s="17">
        <f>IFERROR(INDEX('Roles'!$C$4:$C$13,MATCH($B5,'Roles'!$A$4:$A$13,0)),"(unknown department)")</f>
      </c>
      <c r="E5" s="15">
        <v>5</v>
      </c>
      <c r="F5" s="12" t="s">
        <v>100</v>
      </c>
      <c r="G5" s="22">
        <f>IFERROR(INDEX('Compensation Assumptions'!$I$4:$I$13,MATCH($B5,'Compensation Assumptions'!$A$4:$A$13,0)),0)</f>
      </c>
      <c r="H5" s="23">
        <f>MAX(0,MIN(12,13-E5))</f>
      </c>
      <c r="I5" s="21">
        <f>G5*H5/12</f>
      </c>
      <c r="J5" s="13" t="s">
        <v>101</v>
      </c>
    </row>
    <row r="6" ht="30" customHeight="1" spans="1:10" x14ac:dyDescent="0.25">
      <c r="A6" s="12" t="s">
        <v>102</v>
      </c>
      <c r="B6" s="12" t="s">
        <v>46</v>
      </c>
      <c r="C6" s="16">
        <f>IFERROR(INDEX('Roles'!$B$4:$B$13,MATCH($B6,'Roles'!$A$4:$A$13,0)),"(unknown role)")</f>
      </c>
      <c r="D6" s="17">
        <f>IFERROR(INDEX('Roles'!$C$4:$C$13,MATCH($B6,'Roles'!$A$4:$A$13,0)),"(unknown department)")</f>
      </c>
      <c r="E6" s="15">
        <v>3</v>
      </c>
      <c r="F6" s="12" t="s">
        <v>103</v>
      </c>
      <c r="G6" s="22">
        <f>IFERROR(INDEX('Compensation Assumptions'!$I$4:$I$13,MATCH($B6,'Compensation Assumptions'!$A$4:$A$13,0)),0)</f>
      </c>
      <c r="H6" s="23">
        <f>MAX(0,MIN(12,13-E6))</f>
      </c>
      <c r="I6" s="21">
        <f>G6*H6/12</f>
      </c>
      <c r="J6" s="13" t="s">
        <v>104</v>
      </c>
    </row>
    <row r="7" ht="15" customHeight="1" spans="1:10" x14ac:dyDescent="0.25">
      <c r="A7" s="12" t="s">
        <v>105</v>
      </c>
      <c r="B7" s="12" t="s">
        <v>50</v>
      </c>
      <c r="C7" s="16">
        <f>IFERROR(INDEX('Roles'!$B$4:$B$13,MATCH($B7,'Roles'!$A$4:$A$13,0)),"(unknown role)")</f>
      </c>
      <c r="D7" s="17">
        <f>IFERROR(INDEX('Roles'!$C$4:$C$13,MATCH($B7,'Roles'!$A$4:$A$13,0)),"(unknown department)")</f>
      </c>
      <c r="E7" s="15">
        <v>8</v>
      </c>
      <c r="F7" s="12" t="s">
        <v>100</v>
      </c>
      <c r="G7" s="22">
        <f>IFERROR(INDEX('Compensation Assumptions'!$I$4:$I$13,MATCH($B7,'Compensation Assumptions'!$A$4:$A$13,0)),0)</f>
      </c>
      <c r="H7" s="23">
        <f>MAX(0,MIN(12,13-E7))</f>
      </c>
      <c r="I7" s="21">
        <f>G7*H7/12</f>
      </c>
      <c r="J7" s="13" t="s">
        <v>106</v>
      </c>
    </row>
    <row r="8" ht="15" customHeight="1" spans="1:10" x14ac:dyDescent="0.25">
      <c r="A8" s="12" t="s">
        <v>107</v>
      </c>
      <c r="B8" s="12" t="s">
        <v>54</v>
      </c>
      <c r="C8" s="16">
        <f>IFERROR(INDEX('Roles'!$B$4:$B$13,MATCH($B8,'Roles'!$A$4:$A$13,0)),"(unknown role)")</f>
      </c>
      <c r="D8" s="17">
        <f>IFERROR(INDEX('Roles'!$C$4:$C$13,MATCH($B8,'Roles'!$A$4:$A$13,0)),"(unknown department)")</f>
      </c>
      <c r="E8" s="15">
        <v>1</v>
      </c>
      <c r="F8" s="12" t="s">
        <v>97</v>
      </c>
      <c r="G8" s="22">
        <f>IFERROR(INDEX('Compensation Assumptions'!$I$4:$I$13,MATCH($B8,'Compensation Assumptions'!$A$4:$A$13,0)),0)</f>
      </c>
      <c r="H8" s="23">
        <f>MAX(0,MIN(12,13-E8))</f>
      </c>
      <c r="I8" s="21">
        <f>G8*H8/12</f>
      </c>
      <c r="J8" s="13" t="s">
        <v>108</v>
      </c>
    </row>
    <row r="9" ht="15" customHeight="1" spans="1:10" x14ac:dyDescent="0.25">
      <c r="A9" s="12" t="s">
        <v>109</v>
      </c>
      <c r="B9" s="12" t="s">
        <v>54</v>
      </c>
      <c r="C9" s="16">
        <f>IFERROR(INDEX('Roles'!$B$4:$B$13,MATCH($B9,'Roles'!$A$4:$A$13,0)),"(unknown role)")</f>
      </c>
      <c r="D9" s="17">
        <f>IFERROR(INDEX('Roles'!$C$4:$C$13,MATCH($B9,'Roles'!$A$4:$A$13,0)),"(unknown department)")</f>
      </c>
      <c r="E9" s="15">
        <v>6</v>
      </c>
      <c r="F9" s="12" t="s">
        <v>110</v>
      </c>
      <c r="G9" s="22">
        <f>IFERROR(INDEX('Compensation Assumptions'!$I$4:$I$13,MATCH($B9,'Compensation Assumptions'!$A$4:$A$13,0)),0)</f>
      </c>
      <c r="H9" s="23">
        <f>MAX(0,MIN(12,13-E9))</f>
      </c>
      <c r="I9" s="21">
        <f>G9*H9/12</f>
      </c>
      <c r="J9" s="13" t="s">
        <v>111</v>
      </c>
    </row>
    <row r="10" ht="15" customHeight="1" spans="1:10" x14ac:dyDescent="0.25">
      <c r="A10" s="12" t="s">
        <v>112</v>
      </c>
      <c r="B10" s="12" t="s">
        <v>58</v>
      </c>
      <c r="C10" s="16">
        <f>IFERROR(INDEX('Roles'!$B$4:$B$13,MATCH($B10,'Roles'!$A$4:$A$13,0)),"(unknown role)")</f>
      </c>
      <c r="D10" s="17">
        <f>IFERROR(INDEX('Roles'!$C$4:$C$13,MATCH($B10,'Roles'!$A$4:$A$13,0)),"(unknown department)")</f>
      </c>
      <c r="E10" s="15">
        <v>2</v>
      </c>
      <c r="F10" s="12" t="s">
        <v>97</v>
      </c>
      <c r="G10" s="22">
        <f>IFERROR(INDEX('Compensation Assumptions'!$I$4:$I$13,MATCH($B10,'Compensation Assumptions'!$A$4:$A$13,0)),0)</f>
      </c>
      <c r="H10" s="23">
        <f>MAX(0,MIN(12,13-E10))</f>
      </c>
      <c r="I10" s="21">
        <f>G10*H10/12</f>
      </c>
      <c r="J10" s="13" t="s">
        <v>113</v>
      </c>
    </row>
    <row r="11" ht="15" customHeight="1" spans="1:10" x14ac:dyDescent="0.25">
      <c r="A11" s="12" t="s">
        <v>114</v>
      </c>
      <c r="B11" s="12" t="s">
        <v>58</v>
      </c>
      <c r="C11" s="16">
        <f>IFERROR(INDEX('Roles'!$B$4:$B$13,MATCH($B11,'Roles'!$A$4:$A$13,0)),"(unknown role)")</f>
      </c>
      <c r="D11" s="17">
        <f>IFERROR(INDEX('Roles'!$C$4:$C$13,MATCH($B11,'Roles'!$A$4:$A$13,0)),"(unknown department)")</f>
      </c>
      <c r="E11" s="15">
        <v>9</v>
      </c>
      <c r="F11" s="12" t="s">
        <v>100</v>
      </c>
      <c r="G11" s="22">
        <f>IFERROR(INDEX('Compensation Assumptions'!$I$4:$I$13,MATCH($B11,'Compensation Assumptions'!$A$4:$A$13,0)),0)</f>
      </c>
      <c r="H11" s="23">
        <f>MAX(0,MIN(12,13-E11))</f>
      </c>
      <c r="I11" s="21">
        <f>G11*H11/12</f>
      </c>
      <c r="J11" s="13" t="s">
        <v>115</v>
      </c>
    </row>
    <row r="12" ht="15" customHeight="1" spans="1:10" x14ac:dyDescent="0.25">
      <c r="A12" s="12" t="s">
        <v>116</v>
      </c>
      <c r="B12" s="12" t="s">
        <v>62</v>
      </c>
      <c r="C12" s="16">
        <f>IFERROR(INDEX('Roles'!$B$4:$B$13,MATCH($B12,'Roles'!$A$4:$A$13,0)),"(unknown role)")</f>
      </c>
      <c r="D12" s="17">
        <f>IFERROR(INDEX('Roles'!$C$4:$C$13,MATCH($B12,'Roles'!$A$4:$A$13,0)),"(unknown department)")</f>
      </c>
      <c r="E12" s="15">
        <v>4</v>
      </c>
      <c r="F12" s="12" t="s">
        <v>97</v>
      </c>
      <c r="G12" s="22">
        <f>IFERROR(INDEX('Compensation Assumptions'!$I$4:$I$13,MATCH($B12,'Compensation Assumptions'!$A$4:$A$13,0)),0)</f>
      </c>
      <c r="H12" s="23">
        <f>MAX(0,MIN(12,13-E12))</f>
      </c>
      <c r="I12" s="21">
        <f>G12*H12/12</f>
      </c>
      <c r="J12" s="13" t="s">
        <v>117</v>
      </c>
    </row>
    <row r="13" ht="15" customHeight="1" spans="1:10" x14ac:dyDescent="0.25">
      <c r="A13" s="12" t="s">
        <v>118</v>
      </c>
      <c r="B13" s="12" t="s">
        <v>62</v>
      </c>
      <c r="C13" s="16">
        <f>IFERROR(INDEX('Roles'!$B$4:$B$13,MATCH($B13,'Roles'!$A$4:$A$13,0)),"(unknown role)")</f>
      </c>
      <c r="D13" s="17">
        <f>IFERROR(INDEX('Roles'!$C$4:$C$13,MATCH($B13,'Roles'!$A$4:$A$13,0)),"(unknown department)")</f>
      </c>
      <c r="E13" s="15">
        <v>10</v>
      </c>
      <c r="F13" s="12" t="s">
        <v>119</v>
      </c>
      <c r="G13" s="22">
        <f>IFERROR(INDEX('Compensation Assumptions'!$I$4:$I$13,MATCH($B13,'Compensation Assumptions'!$A$4:$A$13,0)),0)</f>
      </c>
      <c r="H13" s="23">
        <f>MAX(0,MIN(12,13-E13))</f>
      </c>
      <c r="I13" s="21">
        <f>G13*H13/12</f>
      </c>
      <c r="J13" s="13" t="s">
        <v>120</v>
      </c>
    </row>
    <row r="14" ht="15" customHeight="1" spans="1:10" x14ac:dyDescent="0.25">
      <c r="A14" s="12" t="s">
        <v>121</v>
      </c>
      <c r="B14" s="12" t="s">
        <v>74</v>
      </c>
      <c r="C14" s="16">
        <f>IFERROR(INDEX('Roles'!$B$4:$B$13,MATCH($B14,'Roles'!$A$4:$A$13,0)),"(unknown role)")</f>
      </c>
      <c r="D14" s="17">
        <f>IFERROR(INDEX('Roles'!$C$4:$C$13,MATCH($B14,'Roles'!$A$4:$A$13,0)),"(unknown department)")</f>
      </c>
      <c r="E14" s="15">
        <v>3</v>
      </c>
      <c r="F14" s="12" t="s">
        <v>97</v>
      </c>
      <c r="G14" s="22">
        <f>IFERROR(INDEX('Compensation Assumptions'!$I$4:$I$13,MATCH($B14,'Compensation Assumptions'!$A$4:$A$13,0)),0)</f>
      </c>
      <c r="H14" s="23">
        <f>MAX(0,MIN(12,13-E14))</f>
      </c>
      <c r="I14" s="21">
        <f>G14*H14/12</f>
      </c>
      <c r="J14" s="13" t="s">
        <v>122</v>
      </c>
    </row>
    <row r="15" ht="15" customHeight="1" spans="1:10" x14ac:dyDescent="0.25">
      <c r="A15" s="12" t="s">
        <v>123</v>
      </c>
      <c r="B15" s="12" t="s">
        <v>78</v>
      </c>
      <c r="C15" s="16">
        <f>IFERROR(INDEX('Roles'!$B$4:$B$13,MATCH($B15,'Roles'!$A$4:$A$13,0)),"(unknown role)")</f>
      </c>
      <c r="D15" s="17">
        <f>IFERROR(INDEX('Roles'!$C$4:$C$13,MATCH($B15,'Roles'!$A$4:$A$13,0)),"(unknown department)")</f>
      </c>
      <c r="E15" s="15">
        <v>7</v>
      </c>
      <c r="F15" s="12" t="s">
        <v>100</v>
      </c>
      <c r="G15" s="22">
        <f>IFERROR(INDEX('Compensation Assumptions'!$I$4:$I$13,MATCH($B15,'Compensation Assumptions'!$A$4:$A$13,0)),0)</f>
      </c>
      <c r="H15" s="23">
        <f>MAX(0,MIN(12,13-E15))</f>
      </c>
      <c r="I15" s="21">
        <f>G15*H15/12</f>
      </c>
      <c r="J15" s="13" t="s">
        <v>124</v>
      </c>
    </row>
    <row r="16" ht="15" customHeight="1" spans="1:10" x14ac:dyDescent="0.25">
      <c r="A16" s="12" t="s">
        <v>125</v>
      </c>
      <c r="B16" s="12" t="s">
        <v>66</v>
      </c>
      <c r="C16" s="16">
        <f>IFERROR(INDEX('Roles'!$B$4:$B$13,MATCH($B16,'Roles'!$A$4:$A$13,0)),"(unknown role)")</f>
      </c>
      <c r="D16" s="17">
        <f>IFERROR(INDEX('Roles'!$C$4:$C$13,MATCH($B16,'Roles'!$A$4:$A$13,0)),"(unknown department)")</f>
      </c>
      <c r="E16" s="15">
        <v>11</v>
      </c>
      <c r="F16" s="12" t="s">
        <v>100</v>
      </c>
      <c r="G16" s="22">
        <f>IFERROR(INDEX('Compensation Assumptions'!$I$4:$I$13,MATCH($B16,'Compensation Assumptions'!$A$4:$A$13,0)),0)</f>
      </c>
      <c r="H16" s="23">
        <f>MAX(0,MIN(12,13-E16))</f>
      </c>
      <c r="I16" s="21">
        <f>G16*H16/12</f>
      </c>
      <c r="J16" s="13" t="s">
        <v>126</v>
      </c>
    </row>
  </sheetData>
  <mergeCells count="1">
    <mergeCell ref="A1:J1"/>
  </mergeCells>
  <dataValidations count="6">
    <dataValidation type="list" showErrorMessage="1" errorTitle="Invalid role ID" error="Choose one of: ENG-SWE, ENG-SR-SWE, ENG-MGR, SAL-AE, SAL-SDR, SUP-REP, SUP-LEAD, MKT-MGR, MKT-SPEC, OPS-ANL" sqref="B10:B16">
      <formula1>"ENG-SWE,ENG-SR-SWE,ENG-MGR,SAL-AE,SAL-SDR,SUP-REP,SUP-LEAD,MKT-MGR,MKT-SPEC,OPS-ANL"</formula1>
    </dataValidation>
    <dataValidation type="list" showErrorMessage="1" errorTitle="Invalid role ID" error="Choose one of: ENG-SWE, ENG-SR-SWE, ENG-MGR, SAL-AE, SAL-SDR, SUP-REP, SUP-LEAD, MKT-MGR, MKT-SPEC, OPS-ANL" sqref="B4:B16">
      <formula1>"ENG-SWE,ENG-SR-SWE,ENG-MGR,SAL-AE,SAL-SDR,SUP-REP,SUP-LEAD,MKT-MGR,MKT-SPEC,OPS-ANL"</formula1>
    </dataValidation>
    <dataValidation type="decimal" allowBlank="1" showErrorMessage="1" errorTitle="Invalid number" error="Enter a number between 1 and 12" sqref="E10:E16">
      <formula1>1</formula1>
      <formula2>12</formula2>
    </dataValidation>
    <dataValidation type="decimal" allowBlank="1" showErrorMessage="1" errorTitle="Invalid number" error="Enter a number between 1 and 12" sqref="E4:E16">
      <formula1>1</formula1>
      <formula2>12</formula2>
    </dataValidation>
    <dataValidation type="list" showErrorMessage="1" errorTitle="Invalid status" error="Choose one of: Planned, Interviewing, Offer Extended, Hired, On Hold" sqref="F10:F16">
      <formula1>"Planned,Interviewing,Offer Extended,Hired,On Hold"</formula1>
    </dataValidation>
    <dataValidation type="list" showErrorMessage="1" errorTitle="Invalid status" error="Choose one of: Planned, Interviewing, Offer Extended, Hired, On Hold" sqref="F4:F16">
      <formula1>"Planned,Interviewing,Offer Extended,Hired,On Hold"</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howGridLines="0">
      <pane ySplit="5" topLeftCell="A6" activePane="bottomLeft" state="frozen"/>
      <selection pane="bottomLeft"/>
    </sheetView>
  </sheetViews>
  <sheetFormatPr defaultRowHeight="15" outlineLevelRow="0" outlineLevelCol="0" x14ac:dyDescent="55"/>
  <cols>
    <col min="1" max="1" width="20" customWidth="1"/>
    <col min="2" max="2" width="16" customWidth="1"/>
    <col min="3" max="14" width="10" customWidth="1"/>
  </cols>
  <sheetData>
    <row r="1" spans="1:14" x14ac:dyDescent="0.25">
      <c r="A1" s="24" t="s">
        <v>127</v>
      </c>
      <c r="B1" s="24"/>
      <c r="C1" s="24"/>
      <c r="D1" s="24"/>
      <c r="E1" s="24"/>
      <c r="F1" s="24"/>
      <c r="G1" s="24"/>
      <c r="H1" s="24"/>
      <c r="I1" s="24"/>
      <c r="J1" s="24"/>
      <c r="K1" s="24"/>
      <c r="L1" s="24"/>
      <c r="M1" s="24"/>
      <c r="N1" s="24"/>
    </row>
    <row r="3" ht="30" customHeight="1" spans="1:14" x14ac:dyDescent="0.25">
      <c r="A3" s="2" t="s">
        <v>128</v>
      </c>
      <c r="B3" s="2"/>
      <c r="C3" s="2"/>
      <c r="D3" s="2"/>
      <c r="E3" s="2"/>
      <c r="F3" s="2"/>
      <c r="G3" s="2"/>
      <c r="H3" s="2"/>
      <c r="I3" s="2"/>
      <c r="J3" s="2"/>
      <c r="K3" s="2"/>
      <c r="L3" s="2"/>
      <c r="M3" s="2"/>
      <c r="N3" s="2"/>
    </row>
    <row r="5" ht="30" customHeight="1" spans="1:14" x14ac:dyDescent="0.25">
      <c r="A5" s="11" t="s">
        <v>35</v>
      </c>
      <c r="B5" s="11" t="s">
        <v>38</v>
      </c>
      <c r="C5" s="11" t="s">
        <v>129</v>
      </c>
      <c r="D5" s="11" t="s">
        <v>130</v>
      </c>
      <c r="E5" s="11" t="s">
        <v>131</v>
      </c>
      <c r="F5" s="11" t="s">
        <v>132</v>
      </c>
      <c r="G5" s="11" t="s">
        <v>133</v>
      </c>
      <c r="H5" s="11" t="s">
        <v>134</v>
      </c>
      <c r="I5" s="11" t="s">
        <v>135</v>
      </c>
      <c r="J5" s="11" t="s">
        <v>136</v>
      </c>
      <c r="K5" s="11" t="s">
        <v>137</v>
      </c>
      <c r="L5" s="11" t="s">
        <v>138</v>
      </c>
      <c r="M5" s="11" t="s">
        <v>139</v>
      </c>
      <c r="N5" s="11" t="s">
        <v>140</v>
      </c>
    </row>
    <row r="6" spans="1:14" x14ac:dyDescent="0.25">
      <c r="A6" s="25" t="s">
        <v>42</v>
      </c>
      <c r="B6" s="26">
        <f>SUMIF('Roles'!$C$4:$C$13,$A6,'Roles'!$F$4:$F$13)</f>
      </c>
      <c r="C6" s="27">
        <f>$B6+COUNTIFS('Hiring Plan'!$D$4:$D$16,$A6,'Hiring Plan'!$E$4:$E$16,"&lt;="&amp;1,'Hiring Plan'!$F$4:$F$16,"&lt;&gt;On Hold")</f>
      </c>
      <c r="D6" s="27">
        <f>$B6+COUNTIFS('Hiring Plan'!$D$4:$D$16,$A6,'Hiring Plan'!$E$4:$E$16,"&lt;="&amp;2,'Hiring Plan'!$F$4:$F$16,"&lt;&gt;On Hold")</f>
      </c>
      <c r="E6" s="27">
        <f>$B6+COUNTIFS('Hiring Plan'!$D$4:$D$16,$A6,'Hiring Plan'!$E$4:$E$16,"&lt;="&amp;3,'Hiring Plan'!$F$4:$F$16,"&lt;&gt;On Hold")</f>
      </c>
      <c r="F6" s="27">
        <f>$B6+COUNTIFS('Hiring Plan'!$D$4:$D$16,$A6,'Hiring Plan'!$E$4:$E$16,"&lt;="&amp;4,'Hiring Plan'!$F$4:$F$16,"&lt;&gt;On Hold")</f>
      </c>
      <c r="G6" s="27">
        <f>$B6+COUNTIFS('Hiring Plan'!$D$4:$D$16,$A6,'Hiring Plan'!$E$4:$E$16,"&lt;="&amp;5,'Hiring Plan'!$F$4:$F$16,"&lt;&gt;On Hold")</f>
      </c>
      <c r="H6" s="27">
        <f>$B6+COUNTIFS('Hiring Plan'!$D$4:$D$16,$A6,'Hiring Plan'!$E$4:$E$16,"&lt;="&amp;6,'Hiring Plan'!$F$4:$F$16,"&lt;&gt;On Hold")</f>
      </c>
      <c r="I6" s="27">
        <f>$B6+COUNTIFS('Hiring Plan'!$D$4:$D$16,$A6,'Hiring Plan'!$E$4:$E$16,"&lt;="&amp;7,'Hiring Plan'!$F$4:$F$16,"&lt;&gt;On Hold")</f>
      </c>
      <c r="J6" s="27">
        <f>$B6+COUNTIFS('Hiring Plan'!$D$4:$D$16,$A6,'Hiring Plan'!$E$4:$E$16,"&lt;="&amp;8,'Hiring Plan'!$F$4:$F$16,"&lt;&gt;On Hold")</f>
      </c>
      <c r="K6" s="27">
        <f>$B6+COUNTIFS('Hiring Plan'!$D$4:$D$16,$A6,'Hiring Plan'!$E$4:$E$16,"&lt;="&amp;9,'Hiring Plan'!$F$4:$F$16,"&lt;&gt;On Hold")</f>
      </c>
      <c r="L6" s="27">
        <f>$B6+COUNTIFS('Hiring Plan'!$D$4:$D$16,$A6,'Hiring Plan'!$E$4:$E$16,"&lt;="&amp;10,'Hiring Plan'!$F$4:$F$16,"&lt;&gt;On Hold")</f>
      </c>
      <c r="M6" s="27">
        <f>$B6+COUNTIFS('Hiring Plan'!$D$4:$D$16,$A6,'Hiring Plan'!$E$4:$E$16,"&lt;="&amp;11,'Hiring Plan'!$F$4:$F$16,"&lt;&gt;On Hold")</f>
      </c>
      <c r="N6" s="27">
        <f>$B6+COUNTIFS('Hiring Plan'!$D$4:$D$16,$A6,'Hiring Plan'!$E$4:$E$16,"&lt;="&amp;12,'Hiring Plan'!$F$4:$F$16,"&lt;&gt;On Hold")</f>
      </c>
    </row>
    <row r="7" spans="1:14" x14ac:dyDescent="0.25">
      <c r="A7" s="25" t="s">
        <v>56</v>
      </c>
      <c r="B7" s="26">
        <f>SUMIF('Roles'!$C$4:$C$13,$A7,'Roles'!$F$4:$F$13)</f>
      </c>
      <c r="C7" s="27">
        <f>$B7+COUNTIFS('Hiring Plan'!$D$4:$D$16,$A7,'Hiring Plan'!$E$4:$E$16,"&lt;="&amp;1,'Hiring Plan'!$F$4:$F$16,"&lt;&gt;On Hold")</f>
      </c>
      <c r="D7" s="27">
        <f>$B7+COUNTIFS('Hiring Plan'!$D$4:$D$16,$A7,'Hiring Plan'!$E$4:$E$16,"&lt;="&amp;2,'Hiring Plan'!$F$4:$F$16,"&lt;&gt;On Hold")</f>
      </c>
      <c r="E7" s="27">
        <f>$B7+COUNTIFS('Hiring Plan'!$D$4:$D$16,$A7,'Hiring Plan'!$E$4:$E$16,"&lt;="&amp;3,'Hiring Plan'!$F$4:$F$16,"&lt;&gt;On Hold")</f>
      </c>
      <c r="F7" s="27">
        <f>$B7+COUNTIFS('Hiring Plan'!$D$4:$D$16,$A7,'Hiring Plan'!$E$4:$E$16,"&lt;="&amp;4,'Hiring Plan'!$F$4:$F$16,"&lt;&gt;On Hold")</f>
      </c>
      <c r="G7" s="27">
        <f>$B7+COUNTIFS('Hiring Plan'!$D$4:$D$16,$A7,'Hiring Plan'!$E$4:$E$16,"&lt;="&amp;5,'Hiring Plan'!$F$4:$F$16,"&lt;&gt;On Hold")</f>
      </c>
      <c r="H7" s="27">
        <f>$B7+COUNTIFS('Hiring Plan'!$D$4:$D$16,$A7,'Hiring Plan'!$E$4:$E$16,"&lt;="&amp;6,'Hiring Plan'!$F$4:$F$16,"&lt;&gt;On Hold")</f>
      </c>
      <c r="I7" s="27">
        <f>$B7+COUNTIFS('Hiring Plan'!$D$4:$D$16,$A7,'Hiring Plan'!$E$4:$E$16,"&lt;="&amp;7,'Hiring Plan'!$F$4:$F$16,"&lt;&gt;On Hold")</f>
      </c>
      <c r="J7" s="27">
        <f>$B7+COUNTIFS('Hiring Plan'!$D$4:$D$16,$A7,'Hiring Plan'!$E$4:$E$16,"&lt;="&amp;8,'Hiring Plan'!$F$4:$F$16,"&lt;&gt;On Hold")</f>
      </c>
      <c r="K7" s="27">
        <f>$B7+COUNTIFS('Hiring Plan'!$D$4:$D$16,$A7,'Hiring Plan'!$E$4:$E$16,"&lt;="&amp;9,'Hiring Plan'!$F$4:$F$16,"&lt;&gt;On Hold")</f>
      </c>
      <c r="L7" s="27">
        <f>$B7+COUNTIFS('Hiring Plan'!$D$4:$D$16,$A7,'Hiring Plan'!$E$4:$E$16,"&lt;="&amp;10,'Hiring Plan'!$F$4:$F$16,"&lt;&gt;On Hold")</f>
      </c>
      <c r="M7" s="27">
        <f>$B7+COUNTIFS('Hiring Plan'!$D$4:$D$16,$A7,'Hiring Plan'!$E$4:$E$16,"&lt;="&amp;11,'Hiring Plan'!$F$4:$F$16,"&lt;&gt;On Hold")</f>
      </c>
      <c r="N7" s="27">
        <f>$B7+COUNTIFS('Hiring Plan'!$D$4:$D$16,$A7,'Hiring Plan'!$E$4:$E$16,"&lt;="&amp;12,'Hiring Plan'!$F$4:$F$16,"&lt;&gt;On Hold")</f>
      </c>
    </row>
    <row r="8" spans="1:14" x14ac:dyDescent="0.25">
      <c r="A8" s="25" t="s">
        <v>64</v>
      </c>
      <c r="B8" s="26">
        <f>SUMIF('Roles'!$C$4:$C$13,$A8,'Roles'!$F$4:$F$13)</f>
      </c>
      <c r="C8" s="27">
        <f>$B8+COUNTIFS('Hiring Plan'!$D$4:$D$16,$A8,'Hiring Plan'!$E$4:$E$16,"&lt;="&amp;1,'Hiring Plan'!$F$4:$F$16,"&lt;&gt;On Hold")</f>
      </c>
      <c r="D8" s="27">
        <f>$B8+COUNTIFS('Hiring Plan'!$D$4:$D$16,$A8,'Hiring Plan'!$E$4:$E$16,"&lt;="&amp;2,'Hiring Plan'!$F$4:$F$16,"&lt;&gt;On Hold")</f>
      </c>
      <c r="E8" s="27">
        <f>$B8+COUNTIFS('Hiring Plan'!$D$4:$D$16,$A8,'Hiring Plan'!$E$4:$E$16,"&lt;="&amp;3,'Hiring Plan'!$F$4:$F$16,"&lt;&gt;On Hold")</f>
      </c>
      <c r="F8" s="27">
        <f>$B8+COUNTIFS('Hiring Plan'!$D$4:$D$16,$A8,'Hiring Plan'!$E$4:$E$16,"&lt;="&amp;4,'Hiring Plan'!$F$4:$F$16,"&lt;&gt;On Hold")</f>
      </c>
      <c r="G8" s="27">
        <f>$B8+COUNTIFS('Hiring Plan'!$D$4:$D$16,$A8,'Hiring Plan'!$E$4:$E$16,"&lt;="&amp;5,'Hiring Plan'!$F$4:$F$16,"&lt;&gt;On Hold")</f>
      </c>
      <c r="H8" s="27">
        <f>$B8+COUNTIFS('Hiring Plan'!$D$4:$D$16,$A8,'Hiring Plan'!$E$4:$E$16,"&lt;="&amp;6,'Hiring Plan'!$F$4:$F$16,"&lt;&gt;On Hold")</f>
      </c>
      <c r="I8" s="27">
        <f>$B8+COUNTIFS('Hiring Plan'!$D$4:$D$16,$A8,'Hiring Plan'!$E$4:$E$16,"&lt;="&amp;7,'Hiring Plan'!$F$4:$F$16,"&lt;&gt;On Hold")</f>
      </c>
      <c r="J8" s="27">
        <f>$B8+COUNTIFS('Hiring Plan'!$D$4:$D$16,$A8,'Hiring Plan'!$E$4:$E$16,"&lt;="&amp;8,'Hiring Plan'!$F$4:$F$16,"&lt;&gt;On Hold")</f>
      </c>
      <c r="K8" s="27">
        <f>$B8+COUNTIFS('Hiring Plan'!$D$4:$D$16,$A8,'Hiring Plan'!$E$4:$E$16,"&lt;="&amp;9,'Hiring Plan'!$F$4:$F$16,"&lt;&gt;On Hold")</f>
      </c>
      <c r="L8" s="27">
        <f>$B8+COUNTIFS('Hiring Plan'!$D$4:$D$16,$A8,'Hiring Plan'!$E$4:$E$16,"&lt;="&amp;10,'Hiring Plan'!$F$4:$F$16,"&lt;&gt;On Hold")</f>
      </c>
      <c r="M8" s="27">
        <f>$B8+COUNTIFS('Hiring Plan'!$D$4:$D$16,$A8,'Hiring Plan'!$E$4:$E$16,"&lt;="&amp;11,'Hiring Plan'!$F$4:$F$16,"&lt;&gt;On Hold")</f>
      </c>
      <c r="N8" s="27">
        <f>$B8+COUNTIFS('Hiring Plan'!$D$4:$D$16,$A8,'Hiring Plan'!$E$4:$E$16,"&lt;="&amp;12,'Hiring Plan'!$F$4:$F$16,"&lt;&gt;On Hold")</f>
      </c>
    </row>
    <row r="9" spans="1:14" x14ac:dyDescent="0.25">
      <c r="A9" s="25" t="s">
        <v>72</v>
      </c>
      <c r="B9" s="26">
        <f>SUMIF('Roles'!$C$4:$C$13,$A9,'Roles'!$F$4:$F$13)</f>
      </c>
      <c r="C9" s="27">
        <f>$B9+COUNTIFS('Hiring Plan'!$D$4:$D$16,$A9,'Hiring Plan'!$E$4:$E$16,"&lt;="&amp;1,'Hiring Plan'!$F$4:$F$16,"&lt;&gt;On Hold")</f>
      </c>
      <c r="D9" s="27">
        <f>$B9+COUNTIFS('Hiring Plan'!$D$4:$D$16,$A9,'Hiring Plan'!$E$4:$E$16,"&lt;="&amp;2,'Hiring Plan'!$F$4:$F$16,"&lt;&gt;On Hold")</f>
      </c>
      <c r="E9" s="27">
        <f>$B9+COUNTIFS('Hiring Plan'!$D$4:$D$16,$A9,'Hiring Plan'!$E$4:$E$16,"&lt;="&amp;3,'Hiring Plan'!$F$4:$F$16,"&lt;&gt;On Hold")</f>
      </c>
      <c r="F9" s="27">
        <f>$B9+COUNTIFS('Hiring Plan'!$D$4:$D$16,$A9,'Hiring Plan'!$E$4:$E$16,"&lt;="&amp;4,'Hiring Plan'!$F$4:$F$16,"&lt;&gt;On Hold")</f>
      </c>
      <c r="G9" s="27">
        <f>$B9+COUNTIFS('Hiring Plan'!$D$4:$D$16,$A9,'Hiring Plan'!$E$4:$E$16,"&lt;="&amp;5,'Hiring Plan'!$F$4:$F$16,"&lt;&gt;On Hold")</f>
      </c>
      <c r="H9" s="27">
        <f>$B9+COUNTIFS('Hiring Plan'!$D$4:$D$16,$A9,'Hiring Plan'!$E$4:$E$16,"&lt;="&amp;6,'Hiring Plan'!$F$4:$F$16,"&lt;&gt;On Hold")</f>
      </c>
      <c r="I9" s="27">
        <f>$B9+COUNTIFS('Hiring Plan'!$D$4:$D$16,$A9,'Hiring Plan'!$E$4:$E$16,"&lt;="&amp;7,'Hiring Plan'!$F$4:$F$16,"&lt;&gt;On Hold")</f>
      </c>
      <c r="J9" s="27">
        <f>$B9+COUNTIFS('Hiring Plan'!$D$4:$D$16,$A9,'Hiring Plan'!$E$4:$E$16,"&lt;="&amp;8,'Hiring Plan'!$F$4:$F$16,"&lt;&gt;On Hold")</f>
      </c>
      <c r="K9" s="27">
        <f>$B9+COUNTIFS('Hiring Plan'!$D$4:$D$16,$A9,'Hiring Plan'!$E$4:$E$16,"&lt;="&amp;9,'Hiring Plan'!$F$4:$F$16,"&lt;&gt;On Hold")</f>
      </c>
      <c r="L9" s="27">
        <f>$B9+COUNTIFS('Hiring Plan'!$D$4:$D$16,$A9,'Hiring Plan'!$E$4:$E$16,"&lt;="&amp;10,'Hiring Plan'!$F$4:$F$16,"&lt;&gt;On Hold")</f>
      </c>
      <c r="M9" s="27">
        <f>$B9+COUNTIFS('Hiring Plan'!$D$4:$D$16,$A9,'Hiring Plan'!$E$4:$E$16,"&lt;="&amp;11,'Hiring Plan'!$F$4:$F$16,"&lt;&gt;On Hold")</f>
      </c>
      <c r="N9" s="27">
        <f>$B9+COUNTIFS('Hiring Plan'!$D$4:$D$16,$A9,'Hiring Plan'!$E$4:$E$16,"&lt;="&amp;12,'Hiring Plan'!$F$4:$F$16,"&lt;&gt;On Hold")</f>
      </c>
    </row>
    <row r="10" spans="1:14" x14ac:dyDescent="0.25">
      <c r="A10" s="25" t="s">
        <v>80</v>
      </c>
      <c r="B10" s="26">
        <f>SUMIF('Roles'!$C$4:$C$13,$A10,'Roles'!$F$4:$F$13)</f>
      </c>
      <c r="C10" s="27">
        <f>$B10+COUNTIFS('Hiring Plan'!$D$4:$D$16,$A10,'Hiring Plan'!$E$4:$E$16,"&lt;="&amp;1,'Hiring Plan'!$F$4:$F$16,"&lt;&gt;On Hold")</f>
      </c>
      <c r="D10" s="27">
        <f>$B10+COUNTIFS('Hiring Plan'!$D$4:$D$16,$A10,'Hiring Plan'!$E$4:$E$16,"&lt;="&amp;2,'Hiring Plan'!$F$4:$F$16,"&lt;&gt;On Hold")</f>
      </c>
      <c r="E10" s="27">
        <f>$B10+COUNTIFS('Hiring Plan'!$D$4:$D$16,$A10,'Hiring Plan'!$E$4:$E$16,"&lt;="&amp;3,'Hiring Plan'!$F$4:$F$16,"&lt;&gt;On Hold")</f>
      </c>
      <c r="F10" s="27">
        <f>$B10+COUNTIFS('Hiring Plan'!$D$4:$D$16,$A10,'Hiring Plan'!$E$4:$E$16,"&lt;="&amp;4,'Hiring Plan'!$F$4:$F$16,"&lt;&gt;On Hold")</f>
      </c>
      <c r="G10" s="27">
        <f>$B10+COUNTIFS('Hiring Plan'!$D$4:$D$16,$A10,'Hiring Plan'!$E$4:$E$16,"&lt;="&amp;5,'Hiring Plan'!$F$4:$F$16,"&lt;&gt;On Hold")</f>
      </c>
      <c r="H10" s="27">
        <f>$B10+COUNTIFS('Hiring Plan'!$D$4:$D$16,$A10,'Hiring Plan'!$E$4:$E$16,"&lt;="&amp;6,'Hiring Plan'!$F$4:$F$16,"&lt;&gt;On Hold")</f>
      </c>
      <c r="I10" s="27">
        <f>$B10+COUNTIFS('Hiring Plan'!$D$4:$D$16,$A10,'Hiring Plan'!$E$4:$E$16,"&lt;="&amp;7,'Hiring Plan'!$F$4:$F$16,"&lt;&gt;On Hold")</f>
      </c>
      <c r="J10" s="27">
        <f>$B10+COUNTIFS('Hiring Plan'!$D$4:$D$16,$A10,'Hiring Plan'!$E$4:$E$16,"&lt;="&amp;8,'Hiring Plan'!$F$4:$F$16,"&lt;&gt;On Hold")</f>
      </c>
      <c r="K10" s="27">
        <f>$B10+COUNTIFS('Hiring Plan'!$D$4:$D$16,$A10,'Hiring Plan'!$E$4:$E$16,"&lt;="&amp;9,'Hiring Plan'!$F$4:$F$16,"&lt;&gt;On Hold")</f>
      </c>
      <c r="L10" s="27">
        <f>$B10+COUNTIFS('Hiring Plan'!$D$4:$D$16,$A10,'Hiring Plan'!$E$4:$E$16,"&lt;="&amp;10,'Hiring Plan'!$F$4:$F$16,"&lt;&gt;On Hold")</f>
      </c>
      <c r="M10" s="27">
        <f>$B10+COUNTIFS('Hiring Plan'!$D$4:$D$16,$A10,'Hiring Plan'!$E$4:$E$16,"&lt;="&amp;11,'Hiring Plan'!$F$4:$F$16,"&lt;&gt;On Hold")</f>
      </c>
      <c r="N10" s="27">
        <f>$B10+COUNTIFS('Hiring Plan'!$D$4:$D$16,$A10,'Hiring Plan'!$E$4:$E$16,"&lt;="&amp;12,'Hiring Plan'!$F$4:$F$16,"&lt;&gt;On Hold")</f>
      </c>
    </row>
    <row r="12" spans="1:14" x14ac:dyDescent="0.25">
      <c r="A12" s="28" t="s">
        <v>141</v>
      </c>
      <c r="B12" s="29">
        <f>SUM(B6:B10)</f>
      </c>
      <c r="C12" s="29">
        <f>SUM(C6:C10)</f>
      </c>
      <c r="D12" s="29">
        <f>SUM(D6:D10)</f>
      </c>
      <c r="E12" s="29">
        <f>SUM(E6:E10)</f>
      </c>
      <c r="F12" s="29">
        <f>SUM(F6:F10)</f>
      </c>
      <c r="G12" s="29">
        <f>SUM(G6:G10)</f>
      </c>
      <c r="H12" s="29">
        <f>SUM(H6:H10)</f>
      </c>
      <c r="I12" s="29">
        <f>SUM(I6:I10)</f>
      </c>
      <c r="J12" s="29">
        <f>SUM(J6:J10)</f>
      </c>
      <c r="K12" s="29">
        <f>SUM(K6:K10)</f>
      </c>
      <c r="L12" s="29">
        <f>SUM(L6:L10)</f>
      </c>
      <c r="M12" s="29">
        <f>SUM(M6:M10)</f>
      </c>
      <c r="N12" s="29">
        <f>SUM(N6:N10)</f>
      </c>
    </row>
    <row r="13" spans="1:14" x14ac:dyDescent="0.25">
      <c r="A13" s="30" t="s">
        <v>142</v>
      </c>
      <c r="C13" s="27">
        <f>C12-B12</f>
      </c>
      <c r="D13" s="27">
        <f>D12-C12</f>
      </c>
      <c r="E13" s="27">
        <f>E12-D12</f>
      </c>
      <c r="F13" s="27">
        <f>F12-E12</f>
      </c>
      <c r="G13" s="27">
        <f>G12-F12</f>
      </c>
      <c r="H13" s="27">
        <f>H12-G12</f>
      </c>
      <c r="I13" s="27">
        <f>I12-H12</f>
      </c>
      <c r="J13" s="27">
        <f>J12-I12</f>
      </c>
      <c r="K13" s="27">
        <f>K12-J12</f>
      </c>
      <c r="L13" s="27">
        <f>L12-K12</f>
      </c>
      <c r="M13" s="27">
        <f>M12-L12</f>
      </c>
      <c r="N13" s="27">
        <f>N12-M12</f>
      </c>
    </row>
    <row r="15" ht="32" customHeight="1" spans="1:14" x14ac:dyDescent="0.25">
      <c r="A15" s="31" t="s">
        <v>31</v>
      </c>
      <c r="B15" s="31"/>
      <c r="C15" s="31"/>
      <c r="D15" s="31"/>
      <c r="E15" s="31"/>
      <c r="F15" s="31"/>
      <c r="G15" s="31"/>
      <c r="H15" s="31"/>
      <c r="I15" s="31"/>
      <c r="J15" s="31"/>
      <c r="K15" s="31"/>
      <c r="L15" s="31"/>
      <c r="M15" s="31"/>
      <c r="N15" s="31"/>
    </row>
  </sheetData>
  <mergeCells count="3">
    <mergeCell ref="A1:N1"/>
    <mergeCell ref="A3:N3"/>
    <mergeCell ref="A15:N15"/>
  </mergeCells>
  <hyperlinks>
    <hyperlink ref="A15" r:id="rId1"/>
  </hyperlink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howGridLines="0">
      <pane ySplit="5" topLeftCell="A6" activePane="bottomLeft" state="frozen"/>
      <selection pane="bottomLeft"/>
    </sheetView>
  </sheetViews>
  <sheetFormatPr defaultRowHeight="15" outlineLevelRow="0" outlineLevelCol="0" x14ac:dyDescent="55"/>
  <cols>
    <col min="1" max="1" width="12" customWidth="1"/>
    <col min="2" max="2" width="26" customWidth="1"/>
    <col min="3" max="3" width="18" customWidth="1"/>
    <col min="4" max="4" width="16" customWidth="1"/>
    <col min="5" max="6" width="18" customWidth="1"/>
    <col min="7" max="7" width="17" customWidth="1"/>
    <col min="8" max="8" width="18" customWidth="1"/>
  </cols>
  <sheetData>
    <row r="1" spans="1:8" x14ac:dyDescent="0.25">
      <c r="A1" s="1" t="s">
        <v>143</v>
      </c>
      <c r="B1" s="1"/>
      <c r="C1" s="1"/>
      <c r="D1" s="1"/>
      <c r="E1" s="1"/>
      <c r="F1" s="1"/>
      <c r="G1" s="1"/>
      <c r="H1" s="1"/>
    </row>
    <row r="2" spans="2:2" x14ac:dyDescent="0.25">
      <c r="B2" s="2"/>
    </row>
    <row r="3" ht="30" customHeight="1" spans="1:8" x14ac:dyDescent="0.25">
      <c r="A3" s="2" t="s">
        <v>144</v>
      </c>
      <c r="B3" s="2"/>
      <c r="C3" s="2"/>
      <c r="D3" s="2"/>
      <c r="E3" s="2"/>
      <c r="F3" s="2"/>
      <c r="G3" s="2"/>
      <c r="H3" s="2"/>
    </row>
    <row r="4" spans="2:2" x14ac:dyDescent="0.25">
      <c r="B4" s="2"/>
    </row>
    <row r="5" ht="30" customHeight="1" spans="1:8" x14ac:dyDescent="0.25">
      <c r="A5" s="11" t="s">
        <v>33</v>
      </c>
      <c r="B5" s="11" t="s">
        <v>34</v>
      </c>
      <c r="C5" s="11" t="s">
        <v>35</v>
      </c>
      <c r="D5" s="11" t="s">
        <v>145</v>
      </c>
      <c r="E5" s="11" t="s">
        <v>146</v>
      </c>
      <c r="F5" s="11" t="s">
        <v>147</v>
      </c>
      <c r="G5" s="11" t="s">
        <v>148</v>
      </c>
      <c r="H5" s="11" t="s">
        <v>149</v>
      </c>
    </row>
    <row r="6" spans="1:8" x14ac:dyDescent="0.25">
      <c r="A6" s="12" t="s">
        <v>40</v>
      </c>
      <c r="B6" s="32">
        <f>IFERROR(INDEX('Roles'!$B$4:$B$13,MATCH($A6,'Roles'!$A$4:$A$13,0)),"(unknown role)")</f>
      </c>
      <c r="C6" s="33">
        <f>IFERROR(INDEX('Roles'!$C$4:$C$13,MATCH($A6,'Roles'!$A$4:$A$13,0)),"(unknown department)")</f>
      </c>
      <c r="D6" s="27">
        <f>COUNTIFS('Hiring Plan'!$B$4:$B$16,$A6,'Hiring Plan'!$F$4:$F$16,"&lt;&gt;On Hold")</f>
      </c>
      <c r="E6" s="34">
        <f>IFERROR(INDEX('Compensation Assumptions'!$I$4:$I$13,MATCH($A6,'Compensation Assumptions'!$A$4:$A$13,0)),0)</f>
      </c>
      <c r="F6" s="34">
        <f>D6*E6</f>
      </c>
      <c r="G6" s="35">
        <f>SUMIFS('Hiring Plan'!$I$4:$I$16,'Hiring Plan'!$B$4:$B$16,$A6,'Hiring Plan'!$F$4:$F$16,"&lt;&gt;On Hold")</f>
      </c>
      <c r="H6" s="36">
        <f>IFERROR(G6/$G$17,0)</f>
      </c>
    </row>
    <row r="7" spans="1:8" x14ac:dyDescent="0.25">
      <c r="A7" s="12" t="s">
        <v>46</v>
      </c>
      <c r="B7" s="32">
        <f>IFERROR(INDEX('Roles'!$B$4:$B$13,MATCH($A7,'Roles'!$A$4:$A$13,0)),"(unknown role)")</f>
      </c>
      <c r="C7" s="33">
        <f>IFERROR(INDEX('Roles'!$C$4:$C$13,MATCH($A7,'Roles'!$A$4:$A$13,0)),"(unknown department)")</f>
      </c>
      <c r="D7" s="27">
        <f>COUNTIFS('Hiring Plan'!$B$4:$B$16,$A7,'Hiring Plan'!$F$4:$F$16,"&lt;&gt;On Hold")</f>
      </c>
      <c r="E7" s="34">
        <f>IFERROR(INDEX('Compensation Assumptions'!$I$4:$I$13,MATCH($A7,'Compensation Assumptions'!$A$4:$A$13,0)),0)</f>
      </c>
      <c r="F7" s="34">
        <f>D7*E7</f>
      </c>
      <c r="G7" s="35">
        <f>SUMIFS('Hiring Plan'!$I$4:$I$16,'Hiring Plan'!$B$4:$B$16,$A7,'Hiring Plan'!$F$4:$F$16,"&lt;&gt;On Hold")</f>
      </c>
      <c r="H7" s="36">
        <f>IFERROR(G7/$G$17,0)</f>
      </c>
    </row>
    <row r="8" spans="1:8" x14ac:dyDescent="0.25">
      <c r="A8" s="12" t="s">
        <v>50</v>
      </c>
      <c r="B8" s="32">
        <f>IFERROR(INDEX('Roles'!$B$4:$B$13,MATCH($A8,'Roles'!$A$4:$A$13,0)),"(unknown role)")</f>
      </c>
      <c r="C8" s="33">
        <f>IFERROR(INDEX('Roles'!$C$4:$C$13,MATCH($A8,'Roles'!$A$4:$A$13,0)),"(unknown department)")</f>
      </c>
      <c r="D8" s="27">
        <f>COUNTIFS('Hiring Plan'!$B$4:$B$16,$A8,'Hiring Plan'!$F$4:$F$16,"&lt;&gt;On Hold")</f>
      </c>
      <c r="E8" s="34">
        <f>IFERROR(INDEX('Compensation Assumptions'!$I$4:$I$13,MATCH($A8,'Compensation Assumptions'!$A$4:$A$13,0)),0)</f>
      </c>
      <c r="F8" s="34">
        <f>D8*E8</f>
      </c>
      <c r="G8" s="35">
        <f>SUMIFS('Hiring Plan'!$I$4:$I$16,'Hiring Plan'!$B$4:$B$16,$A8,'Hiring Plan'!$F$4:$F$16,"&lt;&gt;On Hold")</f>
      </c>
      <c r="H8" s="36">
        <f>IFERROR(G8/$G$17,0)</f>
      </c>
    </row>
    <row r="9" spans="1:8" x14ac:dyDescent="0.25">
      <c r="A9" s="12" t="s">
        <v>54</v>
      </c>
      <c r="B9" s="32">
        <f>IFERROR(INDEX('Roles'!$B$4:$B$13,MATCH($A9,'Roles'!$A$4:$A$13,0)),"(unknown role)")</f>
      </c>
      <c r="C9" s="33">
        <f>IFERROR(INDEX('Roles'!$C$4:$C$13,MATCH($A9,'Roles'!$A$4:$A$13,0)),"(unknown department)")</f>
      </c>
      <c r="D9" s="27">
        <f>COUNTIFS('Hiring Plan'!$B$4:$B$16,$A9,'Hiring Plan'!$F$4:$F$16,"&lt;&gt;On Hold")</f>
      </c>
      <c r="E9" s="34">
        <f>IFERROR(INDEX('Compensation Assumptions'!$I$4:$I$13,MATCH($A9,'Compensation Assumptions'!$A$4:$A$13,0)),0)</f>
      </c>
      <c r="F9" s="34">
        <f>D9*E9</f>
      </c>
      <c r="G9" s="35">
        <f>SUMIFS('Hiring Plan'!$I$4:$I$16,'Hiring Plan'!$B$4:$B$16,$A9,'Hiring Plan'!$F$4:$F$16,"&lt;&gt;On Hold")</f>
      </c>
      <c r="H9" s="36">
        <f>IFERROR(G9/$G$17,0)</f>
      </c>
    </row>
    <row r="10" spans="1:8" x14ac:dyDescent="0.25">
      <c r="A10" s="12" t="s">
        <v>58</v>
      </c>
      <c r="B10" s="32">
        <f>IFERROR(INDEX('Roles'!$B$4:$B$13,MATCH($A10,'Roles'!$A$4:$A$13,0)),"(unknown role)")</f>
      </c>
      <c r="C10" s="33">
        <f>IFERROR(INDEX('Roles'!$C$4:$C$13,MATCH($A10,'Roles'!$A$4:$A$13,0)),"(unknown department)")</f>
      </c>
      <c r="D10" s="27">
        <f>COUNTIFS('Hiring Plan'!$B$4:$B$16,$A10,'Hiring Plan'!$F$4:$F$16,"&lt;&gt;On Hold")</f>
      </c>
      <c r="E10" s="34">
        <f>IFERROR(INDEX('Compensation Assumptions'!$I$4:$I$13,MATCH($A10,'Compensation Assumptions'!$A$4:$A$13,0)),0)</f>
      </c>
      <c r="F10" s="34">
        <f>D10*E10</f>
      </c>
      <c r="G10" s="35">
        <f>SUMIFS('Hiring Plan'!$I$4:$I$16,'Hiring Plan'!$B$4:$B$16,$A10,'Hiring Plan'!$F$4:$F$16,"&lt;&gt;On Hold")</f>
      </c>
      <c r="H10" s="36">
        <f>IFERROR(G10/$G$17,0)</f>
      </c>
    </row>
    <row r="11" spans="1:8" x14ac:dyDescent="0.25">
      <c r="A11" s="12" t="s">
        <v>62</v>
      </c>
      <c r="B11" s="32">
        <f>IFERROR(INDEX('Roles'!$B$4:$B$13,MATCH($A11,'Roles'!$A$4:$A$13,0)),"(unknown role)")</f>
      </c>
      <c r="C11" s="33">
        <f>IFERROR(INDEX('Roles'!$C$4:$C$13,MATCH($A11,'Roles'!$A$4:$A$13,0)),"(unknown department)")</f>
      </c>
      <c r="D11" s="27">
        <f>COUNTIFS('Hiring Plan'!$B$4:$B$16,$A11,'Hiring Plan'!$F$4:$F$16,"&lt;&gt;On Hold")</f>
      </c>
      <c r="E11" s="34">
        <f>IFERROR(INDEX('Compensation Assumptions'!$I$4:$I$13,MATCH($A11,'Compensation Assumptions'!$A$4:$A$13,0)),0)</f>
      </c>
      <c r="F11" s="34">
        <f>D11*E11</f>
      </c>
      <c r="G11" s="35">
        <f>SUMIFS('Hiring Plan'!$I$4:$I$16,'Hiring Plan'!$B$4:$B$16,$A11,'Hiring Plan'!$F$4:$F$16,"&lt;&gt;On Hold")</f>
      </c>
      <c r="H11" s="36">
        <f>IFERROR(G11/$G$17,0)</f>
      </c>
    </row>
    <row r="12" spans="1:8" x14ac:dyDescent="0.25">
      <c r="A12" s="12" t="s">
        <v>66</v>
      </c>
      <c r="B12" s="32">
        <f>IFERROR(INDEX('Roles'!$B$4:$B$13,MATCH($A12,'Roles'!$A$4:$A$13,0)),"(unknown role)")</f>
      </c>
      <c r="C12" s="33">
        <f>IFERROR(INDEX('Roles'!$C$4:$C$13,MATCH($A12,'Roles'!$A$4:$A$13,0)),"(unknown department)")</f>
      </c>
      <c r="D12" s="27">
        <f>COUNTIFS('Hiring Plan'!$B$4:$B$16,$A12,'Hiring Plan'!$F$4:$F$16,"&lt;&gt;On Hold")</f>
      </c>
      <c r="E12" s="34">
        <f>IFERROR(INDEX('Compensation Assumptions'!$I$4:$I$13,MATCH($A12,'Compensation Assumptions'!$A$4:$A$13,0)),0)</f>
      </c>
      <c r="F12" s="34">
        <f>D12*E12</f>
      </c>
      <c r="G12" s="35">
        <f>SUMIFS('Hiring Plan'!$I$4:$I$16,'Hiring Plan'!$B$4:$B$16,$A12,'Hiring Plan'!$F$4:$F$16,"&lt;&gt;On Hold")</f>
      </c>
      <c r="H12" s="36">
        <f>IFERROR(G12/$G$17,0)</f>
      </c>
    </row>
    <row r="13" spans="1:8" x14ac:dyDescent="0.25">
      <c r="A13" s="12" t="s">
        <v>70</v>
      </c>
      <c r="B13" s="32">
        <f>IFERROR(INDEX('Roles'!$B$4:$B$13,MATCH($A13,'Roles'!$A$4:$A$13,0)),"(unknown role)")</f>
      </c>
      <c r="C13" s="33">
        <f>IFERROR(INDEX('Roles'!$C$4:$C$13,MATCH($A13,'Roles'!$A$4:$A$13,0)),"(unknown department)")</f>
      </c>
      <c r="D13" s="27">
        <f>COUNTIFS('Hiring Plan'!$B$4:$B$16,$A13,'Hiring Plan'!$F$4:$F$16,"&lt;&gt;On Hold")</f>
      </c>
      <c r="E13" s="34">
        <f>IFERROR(INDEX('Compensation Assumptions'!$I$4:$I$13,MATCH($A13,'Compensation Assumptions'!$A$4:$A$13,0)),0)</f>
      </c>
      <c r="F13" s="34">
        <f>D13*E13</f>
      </c>
      <c r="G13" s="35">
        <f>SUMIFS('Hiring Plan'!$I$4:$I$16,'Hiring Plan'!$B$4:$B$16,$A13,'Hiring Plan'!$F$4:$F$16,"&lt;&gt;On Hold")</f>
      </c>
      <c r="H13" s="36">
        <f>IFERROR(G13/$G$17,0)</f>
      </c>
    </row>
    <row r="14" spans="1:8" x14ac:dyDescent="0.25">
      <c r="A14" s="12" t="s">
        <v>74</v>
      </c>
      <c r="B14" s="32">
        <f>IFERROR(INDEX('Roles'!$B$4:$B$13,MATCH($A14,'Roles'!$A$4:$A$13,0)),"(unknown role)")</f>
      </c>
      <c r="C14" s="33">
        <f>IFERROR(INDEX('Roles'!$C$4:$C$13,MATCH($A14,'Roles'!$A$4:$A$13,0)),"(unknown department)")</f>
      </c>
      <c r="D14" s="27">
        <f>COUNTIFS('Hiring Plan'!$B$4:$B$16,$A14,'Hiring Plan'!$F$4:$F$16,"&lt;&gt;On Hold")</f>
      </c>
      <c r="E14" s="34">
        <f>IFERROR(INDEX('Compensation Assumptions'!$I$4:$I$13,MATCH($A14,'Compensation Assumptions'!$A$4:$A$13,0)),0)</f>
      </c>
      <c r="F14" s="34">
        <f>D14*E14</f>
      </c>
      <c r="G14" s="35">
        <f>SUMIFS('Hiring Plan'!$I$4:$I$16,'Hiring Plan'!$B$4:$B$16,$A14,'Hiring Plan'!$F$4:$F$16,"&lt;&gt;On Hold")</f>
      </c>
      <c r="H14" s="36">
        <f>IFERROR(G14/$G$17,0)</f>
      </c>
    </row>
    <row r="15" spans="1:8" x14ac:dyDescent="0.25">
      <c r="A15" s="12" t="s">
        <v>78</v>
      </c>
      <c r="B15" s="32">
        <f>IFERROR(INDEX('Roles'!$B$4:$B$13,MATCH($A15,'Roles'!$A$4:$A$13,0)),"(unknown role)")</f>
      </c>
      <c r="C15" s="33">
        <f>IFERROR(INDEX('Roles'!$C$4:$C$13,MATCH($A15,'Roles'!$A$4:$A$13,0)),"(unknown department)")</f>
      </c>
      <c r="D15" s="27">
        <f>COUNTIFS('Hiring Plan'!$B$4:$B$16,$A15,'Hiring Plan'!$F$4:$F$16,"&lt;&gt;On Hold")</f>
      </c>
      <c r="E15" s="34">
        <f>IFERROR(INDEX('Compensation Assumptions'!$I$4:$I$13,MATCH($A15,'Compensation Assumptions'!$A$4:$A$13,0)),0)</f>
      </c>
      <c r="F15" s="34">
        <f>D15*E15</f>
      </c>
      <c r="G15" s="35">
        <f>SUMIFS('Hiring Plan'!$I$4:$I$16,'Hiring Plan'!$B$4:$B$16,$A15,'Hiring Plan'!$F$4:$F$16,"&lt;&gt;On Hold")</f>
      </c>
      <c r="H15" s="36">
        <f>IFERROR(G15/$G$17,0)</f>
      </c>
    </row>
    <row r="16" spans="2:2" x14ac:dyDescent="0.25">
      <c r="B16" s="2"/>
    </row>
    <row r="17" spans="1:8" x14ac:dyDescent="0.25">
      <c r="A17" s="28" t="s">
        <v>150</v>
      </c>
      <c r="B17" s="2"/>
      <c r="D17" s="29">
        <f>SUM(D6:D15)</f>
      </c>
      <c r="E17" s="37">
        <f>IFERROR(F17/D17,0)</f>
      </c>
      <c r="F17" s="37">
        <f>SUM(F6:F15)</f>
      </c>
      <c r="G17" s="37">
        <f>SUM(G6:G15)</f>
      </c>
      <c r="H17" s="38">
        <f>IFERROR(G17/G17,0)</f>
      </c>
    </row>
    <row r="18" spans="2:2" x14ac:dyDescent="0.25">
      <c r="B18" s="2"/>
    </row>
    <row r="19" spans="1:4" x14ac:dyDescent="0.25">
      <c r="A19" s="3" t="s">
        <v>151</v>
      </c>
      <c r="B19" s="3"/>
      <c r="C19" s="3"/>
      <c r="D19" s="3"/>
    </row>
    <row r="20" ht="30" customHeight="1" spans="1:3" x14ac:dyDescent="0.25">
      <c r="A20" s="11" t="s">
        <v>152</v>
      </c>
      <c r="B20" s="11" t="s">
        <v>153</v>
      </c>
      <c r="C20" s="11" t="s">
        <v>154</v>
      </c>
    </row>
    <row r="21" ht="30" customHeight="1" spans="1:3" x14ac:dyDescent="0.25">
      <c r="A21" s="39">
        <v>1</v>
      </c>
      <c r="B21" s="40">
        <f>INDEX($B$6:$B$15,MATCH(C21,$G$6:$G$15,0))</f>
      </c>
      <c r="C21" s="41">
        <f>LARGE($G$6:$G$15,1)</f>
      </c>
    </row>
    <row r="22" ht="30" customHeight="1" spans="1:3" x14ac:dyDescent="0.25">
      <c r="A22" s="39">
        <v>2</v>
      </c>
      <c r="B22" s="40">
        <f>INDEX($B$6:$B$15,MATCH(C22,$G$6:$G$15,0))</f>
      </c>
      <c r="C22" s="41">
        <f>LARGE($G$6:$G$15,2)</f>
      </c>
    </row>
    <row r="23" ht="30" customHeight="1" spans="1:3" x14ac:dyDescent="0.25">
      <c r="A23" s="39">
        <v>3</v>
      </c>
      <c r="B23" s="40">
        <f>INDEX($B$6:$B$15,MATCH(C23,$G$6:$G$15,0))</f>
      </c>
      <c r="C23" s="41">
        <f>LARGE($G$6:$G$15,3)</f>
      </c>
    </row>
    <row r="24" spans="2:2" x14ac:dyDescent="0.25">
      <c r="B24" s="2"/>
    </row>
    <row r="25" ht="32" customHeight="1" spans="1:8" x14ac:dyDescent="0.25">
      <c r="A25" s="31" t="s">
        <v>31</v>
      </c>
      <c r="B25" s="31"/>
      <c r="C25" s="31"/>
      <c r="D25" s="31"/>
      <c r="E25" s="31"/>
      <c r="F25" s="31"/>
      <c r="G25" s="31"/>
      <c r="H25" s="31"/>
    </row>
  </sheetData>
  <mergeCells count="4">
    <mergeCell ref="A1:H1"/>
    <mergeCell ref="A3:H3"/>
    <mergeCell ref="A19:D19"/>
    <mergeCell ref="A25:H25"/>
  </mergeCells>
  <dataValidations count="2">
    <dataValidation type="list" showErrorMessage="1" errorTitle="Invalid role ID" error="Choose one of: ENG-SWE, ENG-SR-SWE, ENG-MGR, SAL-AE, SAL-SDR, SUP-REP, SUP-LEAD, MKT-MGR, MKT-SPEC, OPS-ANL" sqref="A10:A15">
      <formula1>"ENG-SWE,ENG-SR-SWE,ENG-MGR,SAL-AE,SAL-SDR,SUP-REP,SUP-LEAD,MKT-MGR,MKT-SPEC,OPS-ANL"</formula1>
    </dataValidation>
    <dataValidation type="list" showErrorMessage="1" errorTitle="Invalid role ID" error="Choose one of: ENG-SWE, ENG-SR-SWE, ENG-MGR, SAL-AE, SAL-SDR, SUP-REP, SUP-LEAD, MKT-MGR, MKT-SPEC, OPS-ANL" sqref="A6:A15">
      <formula1>"ENG-SWE,ENG-SR-SWE,ENG-MGR,SAL-AE,SAL-SDR,SUP-REP,SUP-LEAD,MKT-MGR,MKT-SPEC,OPS-ANL"</formula1>
    </dataValidation>
  </dataValidations>
  <hyperlinks>
    <hyperlink ref="A25"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Roles</vt:lpstr>
      <vt:lpstr>Compensation Assumptions</vt:lpstr>
      <vt:lpstr>Hiring Plan</vt:lpstr>
      <vt:lpstr>Headcount Forecast</vt:lpstr>
      <vt:lpstr>Cost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2026-09-29T18:29:51Z</dcterms:created>
  <dcterms:modified xsi:type="dcterms:W3CDTF">2026-09-29T18:29:51Z</dcterms:modified>
</cp:coreProperties>
</file>