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ojects" state="visible" r:id="rId5"/>
    <sheet sheetId="3" name="Tasks" state="visible" r:id="rId6"/>
    <sheet sheetId="4" name="Team" state="visible" r:id="rId7"/>
    <sheet sheetId="5" name="Dashboard" state="visible" r:id="rId8"/>
  </sheets>
  <calcPr calcId="171027"/>
</workbook>
</file>

<file path=xl/sharedStrings.xml><?xml version="1.0" encoding="utf-8"?>
<sst xmlns="http://schemas.openxmlformats.org/spreadsheetml/2006/main" count="301" uniqueCount="173">
  <si>
    <t>Project Tracker Template</t>
  </si>
  <si>
    <t>Purpose</t>
  </si>
  <si>
    <t>This workbook helps one person or a small team run several projects at once. List your projects, list the tasks under each one with planned hours and due dates, and the workbook rolls everything up: hours-weighted percent complete per project, overdue and due-soon task flags measured against an as-of date you control, workload by team member, and a one-page portfolio dashboard. Replace the synthetic sample projects and tasks with your own; every calculated sheet recalculates automatically.</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</si>
  <si>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</si>
  <si>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data shown is synthetic and for illustration only.</t>
  </si>
  <si>
    <t>What’s in this workbook</t>
  </si>
  <si>
    <t>Projects</t>
  </si>
  <si>
    <t>One row per project: ID, name, owner, start and due dates, and a status you pick (Active, On Hold, Complete). It also holds the As Of Date input in B2. Calculated columns show task counts, planned and done hours, percent complete, time elapsed, overdue tasks, days to due, and a Red / Amber / Green rating.</t>
  </si>
  <si>
    <t>Tasks</t>
  </si>
  <si>
    <t>One row per task: task ID, project ID, task name, owner, the task it depends on, planned hours, a Done Yes/No flag, and a due date. Calculated columns show days overdue, status, due-soon flag, whether the dependency is clear, and how many open tasks are waiting on this one.</t>
  </si>
  <si>
    <t>Team</t>
  </si>
  <si>
    <t>One row per person with weekly capacity in hours. Calculated columns total open tasks, open hours, overdue tasks, hours that fall due in the next 14 days (overdue work included), and a load rating against two weeks of capacity.</t>
  </si>
  <si>
    <t>Dashboard</t>
  </si>
  <si>
    <t>The one-page output: project counts by rating, portfolio percent complete, overdue and due-soon tasks, overdue tasks that block other work, overloaded people, the portfolio table, and the five most overdue tasks.</t>
  </si>
  <si>
    <t>How to use this workbook</t>
  </si>
  <si>
    <t>1. Open Projects and replace the sample projects with your own. Keep each Project ID unique because Tasks and the roll-ups use it as the lookup key.</t>
  </si>
  <si>
    <t>2. Set the As Of Date in Projects B2. Every overdue and due-soon flag is measured against that date, not today, so you can review any week by changing one cell.</t>
  </si>
  <si>
    <t>3. Open Team and list the people who own tasks, with the project hours each can give per week.</t>
  </si>
  <si>
    <t>4. Open Tasks and enter your tasks. Give each one a project ID, an owner from the Team list, planned hours, a due date, and the ID of the task it depends on if there is one. Change Done? to Yes when the work is finished.</t>
  </si>
  <si>
    <t>5. Review Projects for the Red / Amber / Green rating, Team for who is overloaded, and Dashboard for the one-page summary.</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</si>
  <si>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</si>
  <si>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</si>
  <si>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</si>
  <si>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</si>
  <si>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</si>
  <si>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</si>
  <si>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SUMIFS, COUNTIF, COUNTIFS, IF, IFERROR, AND, OR, MIN, MAX, INDEX, MATCH, LARGE, ROW, and arithmetic. Dropdown validation for status, owner, project ID, and the Done flag carries over during import, and the Red / Amber / Green colors are conditional formatting that you should glance at after import.</t>
  </si>
  <si>
    <t>Limitations</t>
  </si>
  <si>
    <t>This template is a spreadsheet tracker, not a project-management application. It does not send reminders, store files, track time against tasks, or draw a Gantt chart, and it does not calculate a critical path: the Depends On column shows which open tasks are waiting on which, and you decide what that means for the schedule. Percent complete is weighted by planned hours, so it is only as accurate as your hour estimates. The Red / Amber / Green rule is one simple choice (overdue tasks and the gap between percent complete and time elapsed); edit the formula on Projects if your team rates projects differently. Formula ranges are sized to the sample data, so when you add projects, tasks, or people, copy the formulas down and extend the ranges. The overdue ranking breaks ties by row order.</t>
  </si>
  <si>
    <t>★ Free template from Excel.TV — get more free Excel &amp; Google Sheets templates →</t>
  </si>
  <si>
    <t>List each project in the blue cells. Set the As Of Date in B2: every overdue, due-soon, and Red / Amber / Green result in this workbook is measured against it. Yellow columns are calculated from the Tasks sheet.</t>
  </si>
  <si>
    <t>As Of Date:</t>
  </si>
  <si>
    <t>Project ID</t>
  </si>
  <si>
    <t>Project Name</t>
  </si>
  <si>
    <t>Owner</t>
  </si>
  <si>
    <t>Start Date</t>
  </si>
  <si>
    <t>Due Date</t>
  </si>
  <si>
    <t>Status</t>
  </si>
  <si>
    <t>Planned Hours</t>
  </si>
  <si>
    <t>Done Hours</t>
  </si>
  <si>
    <t>% Complete</t>
  </si>
  <si>
    <t>Time Elapsed %</t>
  </si>
  <si>
    <t>Overdue Tasks</t>
  </si>
  <si>
    <t>Days to Due</t>
  </si>
  <si>
    <t>Rating</t>
  </si>
  <si>
    <t>P-101</t>
  </si>
  <si>
    <t>Website Refresh</t>
  </si>
  <si>
    <t>Maria Lopez</t>
  </si>
  <si>
    <t>Active</t>
  </si>
  <si>
    <t>P-102</t>
  </si>
  <si>
    <t>CRM Migration</t>
  </si>
  <si>
    <t>Devon Clark</t>
  </si>
  <si>
    <t>P-103</t>
  </si>
  <si>
    <t>Q4 Event Launch</t>
  </si>
  <si>
    <t>Priya Shah</t>
  </si>
  <si>
    <t>P-104</t>
  </si>
  <si>
    <t>Office Move</t>
  </si>
  <si>
    <t>Sam Okafor</t>
  </si>
  <si>
    <t>P-105</t>
  </si>
  <si>
    <t>Annual Audit Prep</t>
  </si>
  <si>
    <t>Complete</t>
  </si>
  <si>
    <t>P-106</t>
  </si>
  <si>
    <t>Training Rollout</t>
  </si>
  <si>
    <t>On Hold</t>
  </si>
  <si>
    <t>Enter one task per row in the blue cells. Days Overdue, Status, and the flags are measured against the As Of Date on Projects B2. Depends On is optional: enter the Task ID that must finish first. Hidden columns R and S are helpers used by the roll-ups.</t>
  </si>
  <si>
    <t>Task ID</t>
  </si>
  <si>
    <t>Task</t>
  </si>
  <si>
    <t>Depends On</t>
  </si>
  <si>
    <t>Done? (Yes/No)</t>
  </si>
  <si>
    <t>Days Overdue</t>
  </si>
  <si>
    <t>Overdue Flag</t>
  </si>
  <si>
    <t>Due Soon Flag</t>
  </si>
  <si>
    <t>Dependency</t>
  </si>
  <si>
    <t>Open Tasks Waiting On This</t>
  </si>
  <si>
    <t>Blocking Overdue Flag</t>
  </si>
  <si>
    <t>Overdue Sort Key</t>
  </si>
  <si>
    <t>Count Helper</t>
  </si>
  <si>
    <t>T-101</t>
  </si>
  <si>
    <t>Content inventory</t>
  </si>
  <si>
    <t>Yes</t>
  </si>
  <si>
    <t>T-102</t>
  </si>
  <si>
    <t>Wireframes</t>
  </si>
  <si>
    <t>Jordan Reyes</t>
  </si>
  <si>
    <t>T-103</t>
  </si>
  <si>
    <t>Page templates build</t>
  </si>
  <si>
    <t>T-104</t>
  </si>
  <si>
    <t>Content migration</t>
  </si>
  <si>
    <t>No</t>
  </si>
  <si>
    <t>T-105</t>
  </si>
  <si>
    <t>QA and redirects</t>
  </si>
  <si>
    <t>T-106</t>
  </si>
  <si>
    <t>Launch day checklist</t>
  </si>
  <si>
    <t>T-201</t>
  </si>
  <si>
    <t>Field mapping</t>
  </si>
  <si>
    <t>T-202</t>
  </si>
  <si>
    <t>Data cleanup</t>
  </si>
  <si>
    <t>T-203</t>
  </si>
  <si>
    <t>Pilot import</t>
  </si>
  <si>
    <t>T-204</t>
  </si>
  <si>
    <t>User training</t>
  </si>
  <si>
    <t>T-205</t>
  </si>
  <si>
    <t>Cutover weekend</t>
  </si>
  <si>
    <t>T-301</t>
  </si>
  <si>
    <t>Book venue</t>
  </si>
  <si>
    <t>T-302</t>
  </si>
  <si>
    <t>Send speaker invites</t>
  </si>
  <si>
    <t>T-303</t>
  </si>
  <si>
    <t>Registration page</t>
  </si>
  <si>
    <t>T-304</t>
  </si>
  <si>
    <t>Promo email series</t>
  </si>
  <si>
    <t>T-305</t>
  </si>
  <si>
    <t>Run of show</t>
  </si>
  <si>
    <t>T-401</t>
  </si>
  <si>
    <t>Space plan</t>
  </si>
  <si>
    <t>T-402</t>
  </si>
  <si>
    <t>Vendor quotes</t>
  </si>
  <si>
    <t>T-403</t>
  </si>
  <si>
    <t>Network and phone setup</t>
  </si>
  <si>
    <t>T-404</t>
  </si>
  <si>
    <t>Pack and label</t>
  </si>
  <si>
    <t>T-405</t>
  </si>
  <si>
    <t>Move day</t>
  </si>
  <si>
    <t>T-501</t>
  </si>
  <si>
    <t>Collect records</t>
  </si>
  <si>
    <t>T-502</t>
  </si>
  <si>
    <t>Reconcile accounts</t>
  </si>
  <si>
    <t>T-503</t>
  </si>
  <si>
    <t>Auditor walkthrough</t>
  </si>
  <si>
    <t>T-601</t>
  </si>
  <si>
    <t>Curriculum draft</t>
  </si>
  <si>
    <t>T-602</t>
  </si>
  <si>
    <t>Pilot session</t>
  </si>
  <si>
    <t>List each person and the hours per week they can give to these projects. Load compares the open hours due in the next 14 days (overdue work included) with two weeks of capacity. A person with work due but no capacity entered shows No capacity and is rated Over.</t>
  </si>
  <si>
    <t>Name</t>
  </si>
  <si>
    <t>Role</t>
  </si>
  <si>
    <t>Weekly Capacity (hrs)</t>
  </si>
  <si>
    <t>Open Tasks</t>
  </si>
  <si>
    <t>Open Hours</t>
  </si>
  <si>
    <t>Hours Due in 14 Days</t>
  </si>
  <si>
    <t>Load % of 2 Weeks</t>
  </si>
  <si>
    <t>Load</t>
  </si>
  <si>
    <t>Content lead</t>
  </si>
  <si>
    <t>Systems lead</t>
  </si>
  <si>
    <t>Programs manager</t>
  </si>
  <si>
    <t>Operations</t>
  </si>
  <si>
    <t>Web developer</t>
  </si>
  <si>
    <t>As of date:</t>
  </si>
  <si>
    <t>Portfolio summary</t>
  </si>
  <si>
    <t>Metric</t>
  </si>
  <si>
    <t>Result</t>
  </si>
  <si>
    <t>How it is calculated</t>
  </si>
  <si>
    <t>Active projects</t>
  </si>
  <si>
    <t>Projects on the Projects sheet with Status set to Active.</t>
  </si>
  <si>
    <t>Red projects</t>
  </si>
  <si>
    <t>Two or more overdue tasks, a past-due project, or percent complete more than 25 points behind time elapsed.</t>
  </si>
  <si>
    <t>Amber projects</t>
  </si>
  <si>
    <t>One overdue task, or percent complete more than 10 points behind time elapsed.</t>
  </si>
  <si>
    <t>Portfolio % complete</t>
  </si>
  <si>
    <t>All done hours divided by all planned hours across every project.</t>
  </si>
  <si>
    <t>Open tasks</t>
  </si>
  <si>
    <t>Tasks on the Tasks sheet where Done? is No.</t>
  </si>
  <si>
    <t>Overdue tasks</t>
  </si>
  <si>
    <t>Open tasks with a due date before the as-of date.</t>
  </si>
  <si>
    <t>Due in next 7 days</t>
  </si>
  <si>
    <t>Open tasks due within 7 days of the as-of date and not already overdue.</t>
  </si>
  <si>
    <t>Overdue tasks blocking other work</t>
  </si>
  <si>
    <t>Overdue tasks that at least one other open task lists in Depends On.</t>
  </si>
  <si>
    <t>People over capacity</t>
  </si>
  <si>
    <t>Team members whose hours due in 14 days exceed two weeks of capacity.</t>
  </si>
  <si>
    <t>Projects at a glance</t>
  </si>
  <si>
    <t>Project</t>
  </si>
  <si>
    <t>Most overdue tasks</t>
  </si>
  <si>
    <t>Tasks Waiting On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</si>
</sst>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0.0"/>
    <numFmt numFmtId="166" formatCode="0.0%"/>
    <numFmt numFmtId="167" formatCode="0.00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4" fillId="0" borderId="0" xfId="0" applyFont="1"/>
    <xf numFmtId="164" fontId="4" fillId="2"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3"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3" fontId="4" fillId="3" borderId="1" xfId="0" applyNumberFormat="1" applyFont="1" applyFill="1" applyBorder="1" applyAlignment="1">
      <alignment horizontal="center" vertical="center"/>
    </xf>
    <xf numFmtId="0" fontId="0" fillId="3" borderId="1" xfId="0" applyFill="1" applyBorder="1" applyAlignment="1">
      <alignment horizontal="left" vertical="center" wrapText="1"/>
    </xf>
    <xf numFmtId="165" fontId="0" fillId="2" borderId="1" xfId="0" applyNumberFormat="1" applyFill="1" applyBorder="1" applyAlignment="1">
      <alignment horizontal="center" vertical="center"/>
    </xf>
    <xf numFmtId="167" fontId="0" fillId="3" borderId="1" xfId="0" applyNumberFormat="1" applyFill="1" applyBorder="1" applyAlignment="1">
      <alignment horizontal="center" vertical="center"/>
    </xf>
    <xf numFmtId="164" fontId="4" fillId="3"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166" fontId="4" fillId="4" borderId="1" xfId="0" applyNumberFormat="1" applyFont="1" applyFill="1" applyBorder="1" applyAlignment="1">
      <alignment horizontal="center" vertical="center" wrapText="1"/>
    </xf>
    <xf numFmtId="166" fontId="0" fillId="3" borderId="1" xfId="0" applyNumberFormat="1" applyFill="1" applyBorder="1" applyAlignment="1">
      <alignment horizontal="center" vertical="center" wrapText="1"/>
    </xf>
    <xf numFmtId="0" fontId="4" fillId="3"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12">
    <dxf>
      <font>
        <b/>
        <color rgb="FF9C0006"/>
      </font>
      <fill>
        <patternFill patternType="solid">
          <fgColor rgb="FFF4CCCC"/>
          <bgColor rgb="FFF4CCCC"/>
        </patternFill>
      </fill>
    </dxf>
    <dxf>
      <font>
        <b/>
        <color rgb="FF7F6000"/>
      </font>
      <fill>
        <patternFill patternType="solid">
          <fgColor rgb="FFFFE599"/>
          <bgColor rgb="FFFFE599"/>
        </patternFill>
      </fill>
    </dxf>
    <dxf>
      <font>
        <b/>
        <color rgb="FF274E13"/>
      </font>
      <fill>
        <patternFill patternType="solid">
          <fgColor rgb="FFD9EAD3"/>
          <bgColor rgb="FFD9EAD3"/>
        </patternFill>
      </fill>
    </dxf>
    <dxf>
      <font>
        <b/>
        <color rgb="FF9C0006"/>
      </font>
      <fill>
        <patternFill patternType="solid">
          <fgColor rgb="FFF4CCCC"/>
          <bgColor rgb="FFF4CCCC"/>
        </patternFill>
      </fill>
    </dxf>
    <dxf>
      <font>
        <b/>
        <color rgb="FF7F6000"/>
      </font>
      <fill>
        <patternFill patternType="solid">
          <fgColor rgb="FFFFE599"/>
          <bgColor rgb="FFFFE599"/>
        </patternFill>
      </fill>
    </dxf>
    <dxf>
      <font>
        <b/>
        <color rgb="FF274E13"/>
      </font>
      <fill>
        <patternFill patternType="solid">
          <fgColor rgb="FFD9EAD3"/>
          <bgColor rgb="FFD9EAD3"/>
        </patternFill>
      </fill>
    </dxf>
    <dxf>
      <font>
        <b/>
        <color rgb="FF9C0006"/>
      </font>
      <fill>
        <patternFill patternType="solid">
          <fgColor rgb="FFF4CCCC"/>
          <bgColor rgb="FFF4CCCC"/>
        </patternFill>
      </fill>
    </dxf>
    <dxf>
      <font>
        <b/>
        <color rgb="FF7F6000"/>
      </font>
      <fill>
        <patternFill patternType="solid">
          <fgColor rgb="FFFFE599"/>
          <bgColor rgb="FFFFE599"/>
        </patternFill>
      </fill>
    </dxf>
    <dxf>
      <font>
        <b/>
        <color rgb="FF274E13"/>
      </font>
      <fill>
        <patternFill patternType="solid">
          <fgColor rgb="FFD9EAD3"/>
          <bgColor rgb="FFD9EAD3"/>
        </patternFill>
      </fill>
    </dxf>
    <dxf>
      <font>
        <b/>
        <color rgb="FF9C0006"/>
      </font>
      <fill>
        <patternFill patternType="solid">
          <fgColor rgb="FFF4CCCC"/>
          <bgColor rgb="FFF4CCCC"/>
        </patternFill>
      </fill>
    </dxf>
    <dxf>
      <font>
        <b/>
        <color rgb="FF7F6000"/>
      </font>
      <fill>
        <patternFill patternType="solid">
          <fgColor rgb="FFFFE599"/>
          <bgColor rgb="FFFFE599"/>
        </patternFill>
      </fill>
    </dxf>
    <dxf>
      <font>
        <b/>
        <color rgb="FF274E13"/>
      </font>
      <fill>
        <patternFill patternType="solid">
          <fgColor rgb="FFD9EAD3"/>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project-tracker-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project-tracker-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60"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45"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spans="1:6" x14ac:dyDescent="0.25">
      <c r="A21" s="2"/>
      <c r="B21" s="2"/>
      <c r="C21" s="2"/>
      <c r="D21" s="2"/>
      <c r="E21" s="2"/>
      <c r="F21" s="2"/>
    </row>
    <row r="22" spans="1:6" x14ac:dyDescent="0.25">
      <c r="A22" s="3" t="s">
        <v>20</v>
      </c>
      <c r="B22" s="3"/>
      <c r="C22" s="3"/>
      <c r="D22" s="3"/>
      <c r="E22" s="3"/>
      <c r="F22" s="3"/>
    </row>
    <row r="23" spans="1:6" x14ac:dyDescent="0.25">
      <c r="A23" s="5" t="s">
        <v>20</v>
      </c>
      <c r="B23" s="2"/>
      <c r="C23" s="2"/>
      <c r="D23" s="2"/>
      <c r="E23" s="2"/>
      <c r="F23" s="2"/>
    </row>
    <row r="24" spans="1:6" x14ac:dyDescent="0.25">
      <c r="A24" s="6" t="s">
        <v>21</v>
      </c>
      <c r="B24" s="7" t="s">
        <v>22</v>
      </c>
      <c r="C24" s="2"/>
      <c r="D24" s="2"/>
      <c r="E24" s="2"/>
      <c r="F24" s="2"/>
    </row>
    <row r="25" spans="1:6" x14ac:dyDescent="0.25">
      <c r="A25" s="8" t="s">
        <v>21</v>
      </c>
      <c r="B25" s="7" t="s">
        <v>23</v>
      </c>
      <c r="C25" s="2"/>
      <c r="D25" s="2"/>
      <c r="E25" s="2"/>
      <c r="F25" s="2"/>
    </row>
    <row r="26" spans="1:6" x14ac:dyDescent="0.25">
      <c r="A26" s="9" t="s">
        <v>21</v>
      </c>
      <c r="B26" s="7" t="s">
        <v>24</v>
      </c>
      <c r="C26" s="2"/>
      <c r="D26" s="2"/>
      <c r="E26" s="2"/>
      <c r="F26" s="2"/>
    </row>
    <row r="27" spans="1:6" x14ac:dyDescent="0.25">
      <c r="A27" s="2"/>
      <c r="B27" s="2"/>
      <c r="C27" s="2"/>
      <c r="D27" s="2"/>
      <c r="E27" s="2"/>
      <c r="F27" s="2"/>
    </row>
    <row r="28" spans="1:6" x14ac:dyDescent="0.25">
      <c r="A28" s="3" t="s">
        <v>25</v>
      </c>
      <c r="B28" s="3"/>
      <c r="C28" s="3"/>
      <c r="D28" s="3"/>
      <c r="E28" s="3"/>
      <c r="F28" s="3"/>
    </row>
    <row r="29" ht="60" customHeight="1" spans="1:6" x14ac:dyDescent="0.25">
      <c r="A29" s="2" t="s">
        <v>26</v>
      </c>
      <c r="B29" s="2"/>
      <c r="C29" s="2"/>
      <c r="D29" s="2"/>
      <c r="E29" s="2"/>
      <c r="F29" s="2"/>
    </row>
    <row r="30" spans="1:6" x14ac:dyDescent="0.25">
      <c r="A30" s="2"/>
      <c r="B30" s="2"/>
      <c r="C30" s="2"/>
      <c r="D30" s="2"/>
      <c r="E30" s="2"/>
      <c r="F30" s="2"/>
    </row>
    <row r="31" spans="1:6" x14ac:dyDescent="0.25">
      <c r="A31" s="3" t="s">
        <v>27</v>
      </c>
      <c r="B31" s="3"/>
      <c r="C31" s="3"/>
      <c r="D31" s="3"/>
      <c r="E31" s="3"/>
      <c r="F31" s="3"/>
    </row>
    <row r="32" ht="105" customHeight="1" spans="1:6" x14ac:dyDescent="0.25">
      <c r="A32" s="2" t="s">
        <v>28</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29</v>
      </c>
      <c r="B35" s="10"/>
      <c r="C35" s="10"/>
      <c r="D35" s="10"/>
      <c r="E35" s="10"/>
      <c r="F35"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pane ySplit="4" topLeftCell="A5" activePane="bottomLeft" state="frozen"/>
      <selection pane="bottomLeft"/>
    </sheetView>
  </sheetViews>
  <sheetFormatPr defaultRowHeight="15" outlineLevelRow="0" outlineLevelCol="0" x14ac:dyDescent="55"/>
  <cols>
    <col min="1" max="1" width="13" customWidth="1"/>
    <col min="2" max="2" width="24" customWidth="1"/>
    <col min="3" max="3" width="16" customWidth="1"/>
    <col min="4" max="5" width="13" customWidth="1"/>
    <col min="6" max="6" width="12" customWidth="1"/>
    <col min="8" max="9" width="11" customWidth="1"/>
    <col min="10" max="10" width="12" customWidth="1"/>
    <col min="11" max="11" width="13" customWidth="1"/>
    <col min="12" max="13" width="11" customWidth="1"/>
    <col min="14" max="14" width="12" customWidth="1"/>
  </cols>
  <sheetData>
    <row r="1" ht="30" customHeight="1" spans="1:14" x14ac:dyDescent="0.25">
      <c r="A1" s="2" t="s">
        <v>30</v>
      </c>
      <c r="B1" s="2"/>
      <c r="C1" s="2"/>
      <c r="D1" s="2"/>
      <c r="E1" s="2"/>
      <c r="F1" s="2"/>
      <c r="G1" s="2"/>
      <c r="H1" s="2"/>
      <c r="I1" s="2"/>
      <c r="J1" s="2"/>
      <c r="K1" s="2"/>
      <c r="L1" s="2"/>
      <c r="M1" s="2"/>
      <c r="N1" s="2"/>
    </row>
    <row r="2" spans="1:2" x14ac:dyDescent="0.25">
      <c r="A2" s="11" t="s">
        <v>31</v>
      </c>
      <c r="B2" s="12">
        <v>46300</v>
      </c>
    </row>
    <row r="3" spans="2:2" x14ac:dyDescent="0.25">
      <c r="B3" s="2"/>
    </row>
    <row r="4" ht="30" customHeight="1" spans="1:14" x14ac:dyDescent="0.25">
      <c r="A4" s="13" t="s">
        <v>32</v>
      </c>
      <c r="B4" s="13" t="s">
        <v>33</v>
      </c>
      <c r="C4" s="13" t="s">
        <v>34</v>
      </c>
      <c r="D4" s="13" t="s">
        <v>35</v>
      </c>
      <c r="E4" s="13" t="s">
        <v>36</v>
      </c>
      <c r="F4" s="13" t="s">
        <v>37</v>
      </c>
      <c r="G4" s="13" t="s">
        <v>8</v>
      </c>
      <c r="H4" s="13" t="s">
        <v>38</v>
      </c>
      <c r="I4" s="13" t="s">
        <v>39</v>
      </c>
      <c r="J4" s="13" t="s">
        <v>40</v>
      </c>
      <c r="K4" s="13" t="s">
        <v>41</v>
      </c>
      <c r="L4" s="13" t="s">
        <v>42</v>
      </c>
      <c r="M4" s="13" t="s">
        <v>43</v>
      </c>
      <c r="N4" s="13" t="s">
        <v>44</v>
      </c>
    </row>
    <row r="5" spans="1:14" x14ac:dyDescent="0.25">
      <c r="A5" s="14" t="s">
        <v>45</v>
      </c>
      <c r="B5" s="15" t="s">
        <v>46</v>
      </c>
      <c r="C5" s="16" t="s">
        <v>47</v>
      </c>
      <c r="D5" s="17">
        <v>46244</v>
      </c>
      <c r="E5" s="17">
        <v>46346</v>
      </c>
      <c r="F5" s="14" t="s">
        <v>48</v>
      </c>
      <c r="G5" s="18">
        <f>SUMIF('Tasks'!$B$5:$B$30,$A5,'Tasks'!$S$5:$S$30)</f>
      </c>
      <c r="H5" s="19">
        <f>SUMIF('Tasks'!$B$5:$B$30,$A5,'Tasks'!$G$5:$G$30)</f>
      </c>
      <c r="I5" s="19">
        <f>SUMIF('Tasks'!$B$5:$B$30,$A5,'Tasks'!$J$5:$J$30)</f>
      </c>
      <c r="J5" s="20">
        <f>IFERROR(I5/H5,0)</f>
      </c>
      <c r="K5" s="20">
        <f>IF(E5&gt;D5,MIN(1,MAX(0,('Projects'!$B$2-D5)/(E5-D5))),0)</f>
      </c>
      <c r="L5" s="18">
        <f>SUMIF('Tasks'!$B$5:$B$30,$A5,'Tasks'!$M$5:$M$30)</f>
      </c>
      <c r="M5" s="18">
        <f>E5-'Projects'!$B$2</f>
      </c>
      <c r="N5" s="21">
        <f>IF(F5="Complete","Complete",IF(F5="On Hold","On Hold",IF(OR(L5&gt;=2,J5&lt;K5-0.25,M5&lt;0),"Red",IF(OR(L5&gt;=1,J5&lt;K5-0.1),"Amber","Green"))))</f>
      </c>
    </row>
    <row r="6" spans="1:14" x14ac:dyDescent="0.25">
      <c r="A6" s="14" t="s">
        <v>49</v>
      </c>
      <c r="B6" s="15" t="s">
        <v>50</v>
      </c>
      <c r="C6" s="16" t="s">
        <v>51</v>
      </c>
      <c r="D6" s="17">
        <v>46266</v>
      </c>
      <c r="E6" s="17">
        <v>46367</v>
      </c>
      <c r="F6" s="14" t="s">
        <v>48</v>
      </c>
      <c r="G6" s="18">
        <f>SUMIF('Tasks'!$B$5:$B$30,$A6,'Tasks'!$S$5:$S$30)</f>
      </c>
      <c r="H6" s="19">
        <f>SUMIF('Tasks'!$B$5:$B$30,$A6,'Tasks'!$G$5:$G$30)</f>
      </c>
      <c r="I6" s="19">
        <f>SUMIF('Tasks'!$B$5:$B$30,$A6,'Tasks'!$J$5:$J$30)</f>
      </c>
      <c r="J6" s="20">
        <f>IFERROR(I6/H6,0)</f>
      </c>
      <c r="K6" s="20">
        <f>IF(E6&gt;D6,MIN(1,MAX(0,('Projects'!$B$2-D6)/(E6-D6))),0)</f>
      </c>
      <c r="L6" s="18">
        <f>SUMIF('Tasks'!$B$5:$B$30,$A6,'Tasks'!$M$5:$M$30)</f>
      </c>
      <c r="M6" s="18">
        <f>E6-'Projects'!$B$2</f>
      </c>
      <c r="N6" s="21">
        <f>IF(F6="Complete","Complete",IF(F6="On Hold","On Hold",IF(OR(L6&gt;=2,J6&lt;K6-0.25,M6&lt;0),"Red",IF(OR(L6&gt;=1,J6&lt;K6-0.1),"Amber","Green"))))</f>
      </c>
    </row>
    <row r="7" spans="1:14" x14ac:dyDescent="0.25">
      <c r="A7" s="14" t="s">
        <v>52</v>
      </c>
      <c r="B7" s="15" t="s">
        <v>53</v>
      </c>
      <c r="C7" s="16" t="s">
        <v>54</v>
      </c>
      <c r="D7" s="17">
        <v>46279</v>
      </c>
      <c r="E7" s="17">
        <v>46332</v>
      </c>
      <c r="F7" s="14" t="s">
        <v>48</v>
      </c>
      <c r="G7" s="18">
        <f>SUMIF('Tasks'!$B$5:$B$30,$A7,'Tasks'!$S$5:$S$30)</f>
      </c>
      <c r="H7" s="19">
        <f>SUMIF('Tasks'!$B$5:$B$30,$A7,'Tasks'!$G$5:$G$30)</f>
      </c>
      <c r="I7" s="19">
        <f>SUMIF('Tasks'!$B$5:$B$30,$A7,'Tasks'!$J$5:$J$30)</f>
      </c>
      <c r="J7" s="20">
        <f>IFERROR(I7/H7,0)</f>
      </c>
      <c r="K7" s="20">
        <f>IF(E7&gt;D7,MIN(1,MAX(0,('Projects'!$B$2-D7)/(E7-D7))),0)</f>
      </c>
      <c r="L7" s="18">
        <f>SUMIF('Tasks'!$B$5:$B$30,$A7,'Tasks'!$M$5:$M$30)</f>
      </c>
      <c r="M7" s="18">
        <f>E7-'Projects'!$B$2</f>
      </c>
      <c r="N7" s="21">
        <f>IF(F7="Complete","Complete",IF(F7="On Hold","On Hold",IF(OR(L7&gt;=2,J7&lt;K7-0.25,M7&lt;0),"Red",IF(OR(L7&gt;=1,J7&lt;K7-0.1),"Amber","Green"))))</f>
      </c>
    </row>
    <row r="8" spans="1:14" x14ac:dyDescent="0.25">
      <c r="A8" s="14" t="s">
        <v>55</v>
      </c>
      <c r="B8" s="15" t="s">
        <v>56</v>
      </c>
      <c r="C8" s="16" t="s">
        <v>57</v>
      </c>
      <c r="D8" s="17">
        <v>46258</v>
      </c>
      <c r="E8" s="17">
        <v>46311</v>
      </c>
      <c r="F8" s="14" t="s">
        <v>48</v>
      </c>
      <c r="G8" s="18">
        <f>SUMIF('Tasks'!$B$5:$B$30,$A8,'Tasks'!$S$5:$S$30)</f>
      </c>
      <c r="H8" s="19">
        <f>SUMIF('Tasks'!$B$5:$B$30,$A8,'Tasks'!$G$5:$G$30)</f>
      </c>
      <c r="I8" s="19">
        <f>SUMIF('Tasks'!$B$5:$B$30,$A8,'Tasks'!$J$5:$J$30)</f>
      </c>
      <c r="J8" s="20">
        <f>IFERROR(I8/H8,0)</f>
      </c>
      <c r="K8" s="20">
        <f>IF(E8&gt;D8,MIN(1,MAX(0,('Projects'!$B$2-D8)/(E8-D8))),0)</f>
      </c>
      <c r="L8" s="18">
        <f>SUMIF('Tasks'!$B$5:$B$30,$A8,'Tasks'!$M$5:$M$30)</f>
      </c>
      <c r="M8" s="18">
        <f>E8-'Projects'!$B$2</f>
      </c>
      <c r="N8" s="21">
        <f>IF(F8="Complete","Complete",IF(F8="On Hold","On Hold",IF(OR(L8&gt;=2,J8&lt;K8-0.25,M8&lt;0),"Red",IF(OR(L8&gt;=1,J8&lt;K8-0.1),"Amber","Green"))))</f>
      </c>
    </row>
    <row r="9" spans="1:14" x14ac:dyDescent="0.25">
      <c r="A9" s="14" t="s">
        <v>58</v>
      </c>
      <c r="B9" s="15" t="s">
        <v>59</v>
      </c>
      <c r="C9" s="16" t="s">
        <v>47</v>
      </c>
      <c r="D9" s="17">
        <v>46216</v>
      </c>
      <c r="E9" s="17">
        <v>46290</v>
      </c>
      <c r="F9" s="14" t="s">
        <v>60</v>
      </c>
      <c r="G9" s="18">
        <f>SUMIF('Tasks'!$B$5:$B$30,$A9,'Tasks'!$S$5:$S$30)</f>
      </c>
      <c r="H9" s="19">
        <f>SUMIF('Tasks'!$B$5:$B$30,$A9,'Tasks'!$G$5:$G$30)</f>
      </c>
      <c r="I9" s="19">
        <f>SUMIF('Tasks'!$B$5:$B$30,$A9,'Tasks'!$J$5:$J$30)</f>
      </c>
      <c r="J9" s="20">
        <f>IFERROR(I9/H9,0)</f>
      </c>
      <c r="K9" s="20">
        <f>IF(E9&gt;D9,MIN(1,MAX(0,('Projects'!$B$2-D9)/(E9-D9))),0)</f>
      </c>
      <c r="L9" s="18">
        <f>SUMIF('Tasks'!$B$5:$B$30,$A9,'Tasks'!$M$5:$M$30)</f>
      </c>
      <c r="M9" s="18">
        <f>E9-'Projects'!$B$2</f>
      </c>
      <c r="N9" s="21">
        <f>IF(F9="Complete","Complete",IF(F9="On Hold","On Hold",IF(OR(L9&gt;=2,J9&lt;K9-0.25,M9&lt;0),"Red",IF(OR(L9&gt;=1,J9&lt;K9-0.1),"Amber","Green"))))</f>
      </c>
    </row>
    <row r="10" spans="1:14" x14ac:dyDescent="0.25">
      <c r="A10" s="14" t="s">
        <v>61</v>
      </c>
      <c r="B10" s="15" t="s">
        <v>62</v>
      </c>
      <c r="C10" s="16" t="s">
        <v>51</v>
      </c>
      <c r="D10" s="17">
        <v>46314</v>
      </c>
      <c r="E10" s="17">
        <v>46416</v>
      </c>
      <c r="F10" s="14" t="s">
        <v>63</v>
      </c>
      <c r="G10" s="18">
        <f>SUMIF('Tasks'!$B$5:$B$30,$A10,'Tasks'!$S$5:$S$30)</f>
      </c>
      <c r="H10" s="19">
        <f>SUMIF('Tasks'!$B$5:$B$30,$A10,'Tasks'!$G$5:$G$30)</f>
      </c>
      <c r="I10" s="19">
        <f>SUMIF('Tasks'!$B$5:$B$30,$A10,'Tasks'!$J$5:$J$30)</f>
      </c>
      <c r="J10" s="20">
        <f>IFERROR(I10/H10,0)</f>
      </c>
      <c r="K10" s="20">
        <f>IF(E10&gt;D10,MIN(1,MAX(0,('Projects'!$B$2-D10)/(E10-D10))),0)</f>
      </c>
      <c r="L10" s="18">
        <f>SUMIF('Tasks'!$B$5:$B$30,$A10,'Tasks'!$M$5:$M$30)</f>
      </c>
      <c r="M10" s="18">
        <f>E10-'Projects'!$B$2</f>
      </c>
      <c r="N10" s="21">
        <f>IF(F10="Complete","Complete",IF(F10="On Hold","On Hold",IF(OR(L10&gt;=2,J10&lt;K10-0.25,M10&lt;0),"Red",IF(OR(L10&gt;=1,J10&lt;K10-0.1),"Amber","Green"))))</f>
      </c>
    </row>
  </sheetData>
  <mergeCells count="1">
    <mergeCell ref="A1:N1"/>
  </mergeCells>
  <conditionalFormatting sqref="N5:N10">
    <cfRule type="cellIs" dxfId="0" priority="1" operator="equal">
      <formula>"Red"</formula>
    </cfRule>
    <cfRule type="cellIs" dxfId="1" priority="2" operator="equal">
      <formula>"Amber"</formula>
    </cfRule>
    <cfRule type="cellIs" dxfId="2" priority="3" operator="equal">
      <formula>"Green"</formula>
    </cfRule>
  </conditionalFormatting>
  <dataValidations count="4">
    <dataValidation type="list" allowBlank="1" showErrorMessage="1" errorTitle="Unknown owner" error="Pick a name from the Team sheet." sqref="C10">
      <formula1>'Team'!$A$5:$A$9</formula1>
    </dataValidation>
    <dataValidation type="list" allowBlank="1" showErrorMessage="1" errorTitle="Unknown owner" error="Pick a name from the Team sheet." sqref="C5:C10">
      <formula1>'Team'!$A$5:$A$9</formula1>
    </dataValidation>
    <dataValidation type="list" showErrorMessage="1" errorTitle="Invalid status" error="Choose one of: Active, On Hold, Complete" sqref="F10">
      <formula1>"Active,On Hold,Complete"</formula1>
    </dataValidation>
    <dataValidation type="list" showErrorMessage="1" errorTitle="Invalid status" error="Choose one of: Active, On Hold, Complete" sqref="F5:F10">
      <formula1>"Active,On Hold,Complete"</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workbookViewId="0">
      <pane ySplit="4" topLeftCell="A5" activePane="bottomLeft" state="frozen"/>
      <selection pane="bottomLeft"/>
    </sheetView>
  </sheetViews>
  <sheetFormatPr defaultRowHeight="15" outlineLevelRow="0" outlineLevelCol="0" x14ac:dyDescent="55"/>
  <cols>
    <col min="2" max="2" width="11" customWidth="1"/>
    <col min="3" max="3" width="20" customWidth="1"/>
    <col min="4" max="4" width="26" customWidth="1"/>
    <col min="5" max="5" width="15" customWidth="1"/>
    <col min="6" max="6" width="11" customWidth="1"/>
    <col min="7" max="7" width="10" customWidth="1"/>
    <col min="8" max="8" width="11" customWidth="1"/>
    <col min="9" max="9" width="12" customWidth="1"/>
    <col min="10" max="11" width="10" customWidth="1"/>
    <col min="12" max="12" width="11" customWidth="1"/>
    <col min="13" max="14" width="10" customWidth="1"/>
    <col min="15" max="15" width="12" customWidth="1"/>
    <col min="16" max="16" width="14" customWidth="1"/>
    <col min="17" max="17" width="12" customWidth="1"/>
    <col min="18" max="18" width="11" hidden="1" customWidth="1"/>
    <col min="19" max="19" width="9" hidden="1" customWidth="1"/>
  </cols>
  <sheetData>
    <row r="1" ht="30" customHeight="1" spans="1:14" x14ac:dyDescent="0.25">
      <c r="A1" s="2" t="s">
        <v>64</v>
      </c>
      <c r="B1" s="2"/>
      <c r="C1" s="2"/>
      <c r="D1" s="2"/>
      <c r="E1" s="2"/>
      <c r="F1" s="2"/>
      <c r="G1" s="2"/>
      <c r="H1" s="2"/>
      <c r="I1" s="2"/>
      <c r="J1" s="2"/>
      <c r="K1" s="2"/>
      <c r="L1" s="2"/>
      <c r="M1" s="2"/>
      <c r="N1" s="2"/>
    </row>
    <row r="2" spans="3:4" x14ac:dyDescent="0.25">
      <c r="C2" s="2"/>
      <c r="D2" s="2"/>
    </row>
    <row r="3" spans="3:4" x14ac:dyDescent="0.25">
      <c r="C3" s="2"/>
      <c r="D3" s="2"/>
    </row>
    <row r="4" ht="48" customHeight="1" spans="1:19" x14ac:dyDescent="0.25">
      <c r="A4" s="13" t="s">
        <v>65</v>
      </c>
      <c r="B4" s="13" t="s">
        <v>32</v>
      </c>
      <c r="C4" s="13" t="s">
        <v>33</v>
      </c>
      <c r="D4" s="13" t="s">
        <v>66</v>
      </c>
      <c r="E4" s="13" t="s">
        <v>34</v>
      </c>
      <c r="F4" s="13" t="s">
        <v>67</v>
      </c>
      <c r="G4" s="13" t="s">
        <v>38</v>
      </c>
      <c r="H4" s="13" t="s">
        <v>68</v>
      </c>
      <c r="I4" s="13" t="s">
        <v>36</v>
      </c>
      <c r="J4" s="13" t="s">
        <v>39</v>
      </c>
      <c r="K4" s="13" t="s">
        <v>69</v>
      </c>
      <c r="L4" s="13" t="s">
        <v>37</v>
      </c>
      <c r="M4" s="13" t="s">
        <v>70</v>
      </c>
      <c r="N4" s="13" t="s">
        <v>71</v>
      </c>
      <c r="O4" s="13" t="s">
        <v>72</v>
      </c>
      <c r="P4" s="13" t="s">
        <v>73</v>
      </c>
      <c r="Q4" s="13" t="s">
        <v>74</v>
      </c>
      <c r="R4" s="13" t="s">
        <v>75</v>
      </c>
      <c r="S4" s="13" t="s">
        <v>76</v>
      </c>
    </row>
    <row r="5" spans="1:19" x14ac:dyDescent="0.25">
      <c r="A5" s="14" t="s">
        <v>77</v>
      </c>
      <c r="B5" s="14" t="s">
        <v>45</v>
      </c>
      <c r="C5" s="22">
        <f>IFERROR(INDEX('Projects'!$B$5:$B$10,MATCH($B5,'Projects'!$A$5:$A$10,0)),"(unknown project)")</f>
      </c>
      <c r="D5" s="15" t="s">
        <v>78</v>
      </c>
      <c r="E5" s="16" t="s">
        <v>47</v>
      </c>
      <c r="F5" s="14"/>
      <c r="G5" s="23">
        <v>8</v>
      </c>
      <c r="H5" s="14" t="s">
        <v>79</v>
      </c>
      <c r="I5" s="17">
        <v>46255</v>
      </c>
      <c r="J5" s="19">
        <f>IF(H5="Yes",G5,0)</f>
      </c>
      <c r="K5" s="18">
        <f>IF(H5="Yes",0,MAX(0,'Projects'!$B$2-I5))</f>
      </c>
      <c r="L5" s="21">
        <f>IF(H5="Yes","Done",IF(K5&gt;0,"Overdue",IF(I5-'Projects'!$B$2&lt;=7,"Due Soon","Open")))</f>
      </c>
      <c r="M5" s="18">
        <f>IF(K5&gt;0,1,0)</f>
      </c>
      <c r="N5" s="18">
        <f>IF(L5="Due Soon",1,0)</f>
      </c>
      <c r="O5" s="18">
        <f>IF(F5="","None",IF(IFERROR(INDEX($H$5:$H$30,MATCH(F5,$A$5:$A$30,0)),"No")="Yes","Clear","Waiting"))</f>
      </c>
      <c r="P5" s="18">
        <f>IF(H5="Yes",0,COUNTIFS($F$5:$F$30,A5,$H$5:$H$30,"No"))</f>
      </c>
      <c r="Q5" s="18">
        <f>IF(AND(M5=1,P5&gt;0),1,0)</f>
      </c>
      <c r="R5" s="24">
        <f>IF(K5&gt;0,K5+ROW()/10000,0)</f>
      </c>
      <c r="S5" s="18">
        <f>1</f>
      </c>
    </row>
    <row r="6" spans="1:19" x14ac:dyDescent="0.25">
      <c r="A6" s="14" t="s">
        <v>80</v>
      </c>
      <c r="B6" s="14" t="s">
        <v>45</v>
      </c>
      <c r="C6" s="22">
        <f>IFERROR(INDEX('Projects'!$B$5:$B$10,MATCH($B6,'Projects'!$A$5:$A$10,0)),"(unknown project)")</f>
      </c>
      <c r="D6" s="15" t="s">
        <v>81</v>
      </c>
      <c r="E6" s="16" t="s">
        <v>82</v>
      </c>
      <c r="F6" s="14" t="s">
        <v>77</v>
      </c>
      <c r="G6" s="23">
        <v>16</v>
      </c>
      <c r="H6" s="14" t="s">
        <v>79</v>
      </c>
      <c r="I6" s="17">
        <v>46269</v>
      </c>
      <c r="J6" s="19">
        <f>IF(H6="Yes",G6,0)</f>
      </c>
      <c r="K6" s="18">
        <f>IF(H6="Yes",0,MAX(0,'Projects'!$B$2-I6))</f>
      </c>
      <c r="L6" s="21">
        <f>IF(H6="Yes","Done",IF(K6&gt;0,"Overdue",IF(I6-'Projects'!$B$2&lt;=7,"Due Soon","Open")))</f>
      </c>
      <c r="M6" s="18">
        <f>IF(K6&gt;0,1,0)</f>
      </c>
      <c r="N6" s="18">
        <f>IF(L6="Due Soon",1,0)</f>
      </c>
      <c r="O6" s="18">
        <f>IF(F6="","None",IF(IFERROR(INDEX($H$5:$H$30,MATCH(F6,$A$5:$A$30,0)),"No")="Yes","Clear","Waiting"))</f>
      </c>
      <c r="P6" s="18">
        <f>IF(H6="Yes",0,COUNTIFS($F$5:$F$30,A6,$H$5:$H$30,"No"))</f>
      </c>
      <c r="Q6" s="18">
        <f>IF(AND(M6=1,P6&gt;0),1,0)</f>
      </c>
      <c r="R6" s="24">
        <f>IF(K6&gt;0,K6+ROW()/10000,0)</f>
      </c>
      <c r="S6" s="18">
        <f>1</f>
      </c>
    </row>
    <row r="7" spans="1:19" x14ac:dyDescent="0.25">
      <c r="A7" s="14" t="s">
        <v>83</v>
      </c>
      <c r="B7" s="14" t="s">
        <v>45</v>
      </c>
      <c r="C7" s="22">
        <f>IFERROR(INDEX('Projects'!$B$5:$B$10,MATCH($B7,'Projects'!$A$5:$A$10,0)),"(unknown project)")</f>
      </c>
      <c r="D7" s="15" t="s">
        <v>84</v>
      </c>
      <c r="E7" s="16" t="s">
        <v>51</v>
      </c>
      <c r="F7" s="14" t="s">
        <v>80</v>
      </c>
      <c r="G7" s="23">
        <v>24</v>
      </c>
      <c r="H7" s="14" t="s">
        <v>79</v>
      </c>
      <c r="I7" s="17">
        <v>46290</v>
      </c>
      <c r="J7" s="19">
        <f>IF(H7="Yes",G7,0)</f>
      </c>
      <c r="K7" s="18">
        <f>IF(H7="Yes",0,MAX(0,'Projects'!$B$2-I7))</f>
      </c>
      <c r="L7" s="21">
        <f>IF(H7="Yes","Done",IF(K7&gt;0,"Overdue",IF(I7-'Projects'!$B$2&lt;=7,"Due Soon","Open")))</f>
      </c>
      <c r="M7" s="18">
        <f>IF(K7&gt;0,1,0)</f>
      </c>
      <c r="N7" s="18">
        <f>IF(L7="Due Soon",1,0)</f>
      </c>
      <c r="O7" s="18">
        <f>IF(F7="","None",IF(IFERROR(INDEX($H$5:$H$30,MATCH(F7,$A$5:$A$30,0)),"No")="Yes","Clear","Waiting"))</f>
      </c>
      <c r="P7" s="18">
        <f>IF(H7="Yes",0,COUNTIFS($F$5:$F$30,A7,$H$5:$H$30,"No"))</f>
      </c>
      <c r="Q7" s="18">
        <f>IF(AND(M7=1,P7&gt;0),1,0)</f>
      </c>
      <c r="R7" s="24">
        <f>IF(K7&gt;0,K7+ROW()/10000,0)</f>
      </c>
      <c r="S7" s="18">
        <f>1</f>
      </c>
    </row>
    <row r="8" spans="1:19" x14ac:dyDescent="0.25">
      <c r="A8" s="14" t="s">
        <v>85</v>
      </c>
      <c r="B8" s="14" t="s">
        <v>45</v>
      </c>
      <c r="C8" s="22">
        <f>IFERROR(INDEX('Projects'!$B$5:$B$10,MATCH($B8,'Projects'!$A$5:$A$10,0)),"(unknown project)")</f>
      </c>
      <c r="D8" s="15" t="s">
        <v>86</v>
      </c>
      <c r="E8" s="16" t="s">
        <v>47</v>
      </c>
      <c r="F8" s="14" t="s">
        <v>83</v>
      </c>
      <c r="G8" s="23">
        <v>20</v>
      </c>
      <c r="H8" s="14" t="s">
        <v>87</v>
      </c>
      <c r="I8" s="17">
        <v>46304</v>
      </c>
      <c r="J8" s="19">
        <f>IF(H8="Yes",G8,0)</f>
      </c>
      <c r="K8" s="18">
        <f>IF(H8="Yes",0,MAX(0,'Projects'!$B$2-I8))</f>
      </c>
      <c r="L8" s="21">
        <f>IF(H8="Yes","Done",IF(K8&gt;0,"Overdue",IF(I8-'Projects'!$B$2&lt;=7,"Due Soon","Open")))</f>
      </c>
      <c r="M8" s="18">
        <f>IF(K8&gt;0,1,0)</f>
      </c>
      <c r="N8" s="18">
        <f>IF(L8="Due Soon",1,0)</f>
      </c>
      <c r="O8" s="18">
        <f>IF(F8="","None",IF(IFERROR(INDEX($H$5:$H$30,MATCH(F8,$A$5:$A$30,0)),"No")="Yes","Clear","Waiting"))</f>
      </c>
      <c r="P8" s="18">
        <f>IF(H8="Yes",0,COUNTIFS($F$5:$F$30,A8,$H$5:$H$30,"No"))</f>
      </c>
      <c r="Q8" s="18">
        <f>IF(AND(M8=1,P8&gt;0),1,0)</f>
      </c>
      <c r="R8" s="24">
        <f>IF(K8&gt;0,K8+ROW()/10000,0)</f>
      </c>
      <c r="S8" s="18">
        <f>1</f>
      </c>
    </row>
    <row r="9" spans="1:19" x14ac:dyDescent="0.25">
      <c r="A9" s="14" t="s">
        <v>88</v>
      </c>
      <c r="B9" s="14" t="s">
        <v>45</v>
      </c>
      <c r="C9" s="22">
        <f>IFERROR(INDEX('Projects'!$B$5:$B$10,MATCH($B9,'Projects'!$A$5:$A$10,0)),"(unknown project)")</f>
      </c>
      <c r="D9" s="15" t="s">
        <v>89</v>
      </c>
      <c r="E9" s="16" t="s">
        <v>82</v>
      </c>
      <c r="F9" s="14" t="s">
        <v>85</v>
      </c>
      <c r="G9" s="23">
        <v>12</v>
      </c>
      <c r="H9" s="14" t="s">
        <v>87</v>
      </c>
      <c r="I9" s="17">
        <v>46325</v>
      </c>
      <c r="J9" s="19">
        <f>IF(H9="Yes",G9,0)</f>
      </c>
      <c r="K9" s="18">
        <f>IF(H9="Yes",0,MAX(0,'Projects'!$B$2-I9))</f>
      </c>
      <c r="L9" s="21">
        <f>IF(H9="Yes","Done",IF(K9&gt;0,"Overdue",IF(I9-'Projects'!$B$2&lt;=7,"Due Soon","Open")))</f>
      </c>
      <c r="M9" s="18">
        <f>IF(K9&gt;0,1,0)</f>
      </c>
      <c r="N9" s="18">
        <f>IF(L9="Due Soon",1,0)</f>
      </c>
      <c r="O9" s="18">
        <f>IF(F9="","None",IF(IFERROR(INDEX($H$5:$H$30,MATCH(F9,$A$5:$A$30,0)),"No")="Yes","Clear","Waiting"))</f>
      </c>
      <c r="P9" s="18">
        <f>IF(H9="Yes",0,COUNTIFS($F$5:$F$30,A9,$H$5:$H$30,"No"))</f>
      </c>
      <c r="Q9" s="18">
        <f>IF(AND(M9=1,P9&gt;0),1,0)</f>
      </c>
      <c r="R9" s="24">
        <f>IF(K9&gt;0,K9+ROW()/10000,0)</f>
      </c>
      <c r="S9" s="18">
        <f>1</f>
      </c>
    </row>
    <row r="10" spans="1:19" x14ac:dyDescent="0.25">
      <c r="A10" s="14" t="s">
        <v>90</v>
      </c>
      <c r="B10" s="14" t="s">
        <v>45</v>
      </c>
      <c r="C10" s="22">
        <f>IFERROR(INDEX('Projects'!$B$5:$B$10,MATCH($B10,'Projects'!$A$5:$A$10,0)),"(unknown project)")</f>
      </c>
      <c r="D10" s="15" t="s">
        <v>91</v>
      </c>
      <c r="E10" s="16" t="s">
        <v>51</v>
      </c>
      <c r="F10" s="14" t="s">
        <v>88</v>
      </c>
      <c r="G10" s="23">
        <v>6</v>
      </c>
      <c r="H10" s="14" t="s">
        <v>87</v>
      </c>
      <c r="I10" s="17">
        <v>46346</v>
      </c>
      <c r="J10" s="19">
        <f>IF(H10="Yes",G10,0)</f>
      </c>
      <c r="K10" s="18">
        <f>IF(H10="Yes",0,MAX(0,'Projects'!$B$2-I10))</f>
      </c>
      <c r="L10" s="21">
        <f>IF(H10="Yes","Done",IF(K10&gt;0,"Overdue",IF(I10-'Projects'!$B$2&lt;=7,"Due Soon","Open")))</f>
      </c>
      <c r="M10" s="18">
        <f>IF(K10&gt;0,1,0)</f>
      </c>
      <c r="N10" s="18">
        <f>IF(L10="Due Soon",1,0)</f>
      </c>
      <c r="O10" s="18">
        <f>IF(F10="","None",IF(IFERROR(INDEX($H$5:$H$30,MATCH(F10,$A$5:$A$30,0)),"No")="Yes","Clear","Waiting"))</f>
      </c>
      <c r="P10" s="18">
        <f>IF(H10="Yes",0,COUNTIFS($F$5:$F$30,A10,$H$5:$H$30,"No"))</f>
      </c>
      <c r="Q10" s="18">
        <f>IF(AND(M10=1,P10&gt;0),1,0)</f>
      </c>
      <c r="R10" s="24">
        <f>IF(K10&gt;0,K10+ROW()/10000,0)</f>
      </c>
      <c r="S10" s="18">
        <f>1</f>
      </c>
    </row>
    <row r="11" spans="1:19" x14ac:dyDescent="0.25">
      <c r="A11" s="14" t="s">
        <v>92</v>
      </c>
      <c r="B11" s="14" t="s">
        <v>49</v>
      </c>
      <c r="C11" s="22">
        <f>IFERROR(INDEX('Projects'!$B$5:$B$10,MATCH($B11,'Projects'!$A$5:$A$10,0)),"(unknown project)")</f>
      </c>
      <c r="D11" s="15" t="s">
        <v>93</v>
      </c>
      <c r="E11" s="16" t="s">
        <v>51</v>
      </c>
      <c r="F11" s="14"/>
      <c r="G11" s="23">
        <v>10</v>
      </c>
      <c r="H11" s="14" t="s">
        <v>79</v>
      </c>
      <c r="I11" s="17">
        <v>46283</v>
      </c>
      <c r="J11" s="19">
        <f>IF(H11="Yes",G11,0)</f>
      </c>
      <c r="K11" s="18">
        <f>IF(H11="Yes",0,MAX(0,'Projects'!$B$2-I11))</f>
      </c>
      <c r="L11" s="21">
        <f>IF(H11="Yes","Done",IF(K11&gt;0,"Overdue",IF(I11-'Projects'!$B$2&lt;=7,"Due Soon","Open")))</f>
      </c>
      <c r="M11" s="18">
        <f>IF(K11&gt;0,1,0)</f>
      </c>
      <c r="N11" s="18">
        <f>IF(L11="Due Soon",1,0)</f>
      </c>
      <c r="O11" s="18">
        <f>IF(F11="","None",IF(IFERROR(INDEX($H$5:$H$30,MATCH(F11,$A$5:$A$30,0)),"No")="Yes","Clear","Waiting"))</f>
      </c>
      <c r="P11" s="18">
        <f>IF(H11="Yes",0,COUNTIFS($F$5:$F$30,A11,$H$5:$H$30,"No"))</f>
      </c>
      <c r="Q11" s="18">
        <f>IF(AND(M11=1,P11&gt;0),1,0)</f>
      </c>
      <c r="R11" s="24">
        <f>IF(K11&gt;0,K11+ROW()/10000,0)</f>
      </c>
      <c r="S11" s="18">
        <f>1</f>
      </c>
    </row>
    <row r="12" spans="1:19" x14ac:dyDescent="0.25">
      <c r="A12" s="14" t="s">
        <v>94</v>
      </c>
      <c r="B12" s="14" t="s">
        <v>49</v>
      </c>
      <c r="C12" s="22">
        <f>IFERROR(INDEX('Projects'!$B$5:$B$10,MATCH($B12,'Projects'!$A$5:$A$10,0)),"(unknown project)")</f>
      </c>
      <c r="D12" s="15" t="s">
        <v>95</v>
      </c>
      <c r="E12" s="16" t="s">
        <v>57</v>
      </c>
      <c r="F12" s="14" t="s">
        <v>92</v>
      </c>
      <c r="G12" s="23">
        <v>18</v>
      </c>
      <c r="H12" s="14" t="s">
        <v>87</v>
      </c>
      <c r="I12" s="17">
        <v>46297</v>
      </c>
      <c r="J12" s="19">
        <f>IF(H12="Yes",G12,0)</f>
      </c>
      <c r="K12" s="18">
        <f>IF(H12="Yes",0,MAX(0,'Projects'!$B$2-I12))</f>
      </c>
      <c r="L12" s="21">
        <f>IF(H12="Yes","Done",IF(K12&gt;0,"Overdue",IF(I12-'Projects'!$B$2&lt;=7,"Due Soon","Open")))</f>
      </c>
      <c r="M12" s="18">
        <f>IF(K12&gt;0,1,0)</f>
      </c>
      <c r="N12" s="18">
        <f>IF(L12="Due Soon",1,0)</f>
      </c>
      <c r="O12" s="18">
        <f>IF(F12="","None",IF(IFERROR(INDEX($H$5:$H$30,MATCH(F12,$A$5:$A$30,0)),"No")="Yes","Clear","Waiting"))</f>
      </c>
      <c r="P12" s="18">
        <f>IF(H12="Yes",0,COUNTIFS($F$5:$F$30,A12,$H$5:$H$30,"No"))</f>
      </c>
      <c r="Q12" s="18">
        <f>IF(AND(M12=1,P12&gt;0),1,0)</f>
      </c>
      <c r="R12" s="24">
        <f>IF(K12&gt;0,K12+ROW()/10000,0)</f>
      </c>
      <c r="S12" s="18">
        <f>1</f>
      </c>
    </row>
    <row r="13" spans="1:19" x14ac:dyDescent="0.25">
      <c r="A13" s="14" t="s">
        <v>96</v>
      </c>
      <c r="B13" s="14" t="s">
        <v>49</v>
      </c>
      <c r="C13" s="22">
        <f>IFERROR(INDEX('Projects'!$B$5:$B$10,MATCH($B13,'Projects'!$A$5:$A$10,0)),"(unknown project)")</f>
      </c>
      <c r="D13" s="15" t="s">
        <v>97</v>
      </c>
      <c r="E13" s="16" t="s">
        <v>51</v>
      </c>
      <c r="F13" s="14" t="s">
        <v>94</v>
      </c>
      <c r="G13" s="23">
        <v>8</v>
      </c>
      <c r="H13" s="14" t="s">
        <v>87</v>
      </c>
      <c r="I13" s="17">
        <v>46318</v>
      </c>
      <c r="J13" s="19">
        <f>IF(H13="Yes",G13,0)</f>
      </c>
      <c r="K13" s="18">
        <f>IF(H13="Yes",0,MAX(0,'Projects'!$B$2-I13))</f>
      </c>
      <c r="L13" s="21">
        <f>IF(H13="Yes","Done",IF(K13&gt;0,"Overdue",IF(I13-'Projects'!$B$2&lt;=7,"Due Soon","Open")))</f>
      </c>
      <c r="M13" s="18">
        <f>IF(K13&gt;0,1,0)</f>
      </c>
      <c r="N13" s="18">
        <f>IF(L13="Due Soon",1,0)</f>
      </c>
      <c r="O13" s="18">
        <f>IF(F13="","None",IF(IFERROR(INDEX($H$5:$H$30,MATCH(F13,$A$5:$A$30,0)),"No")="Yes","Clear","Waiting"))</f>
      </c>
      <c r="P13" s="18">
        <f>IF(H13="Yes",0,COUNTIFS($F$5:$F$30,A13,$H$5:$H$30,"No"))</f>
      </c>
      <c r="Q13" s="18">
        <f>IF(AND(M13=1,P13&gt;0),1,0)</f>
      </c>
      <c r="R13" s="24">
        <f>IF(K13&gt;0,K13+ROW()/10000,0)</f>
      </c>
      <c r="S13" s="18">
        <f>1</f>
      </c>
    </row>
    <row r="14" spans="1:19" x14ac:dyDescent="0.25">
      <c r="A14" s="14" t="s">
        <v>98</v>
      </c>
      <c r="B14" s="14" t="s">
        <v>49</v>
      </c>
      <c r="C14" s="22">
        <f>IFERROR(INDEX('Projects'!$B$5:$B$10,MATCH($B14,'Projects'!$A$5:$A$10,0)),"(unknown project)")</f>
      </c>
      <c r="D14" s="15" t="s">
        <v>99</v>
      </c>
      <c r="E14" s="16" t="s">
        <v>54</v>
      </c>
      <c r="F14" s="14" t="s">
        <v>96</v>
      </c>
      <c r="G14" s="23">
        <v>10</v>
      </c>
      <c r="H14" s="14" t="s">
        <v>87</v>
      </c>
      <c r="I14" s="17">
        <v>46346</v>
      </c>
      <c r="J14" s="19">
        <f>IF(H14="Yes",G14,0)</f>
      </c>
      <c r="K14" s="18">
        <f>IF(H14="Yes",0,MAX(0,'Projects'!$B$2-I14))</f>
      </c>
      <c r="L14" s="21">
        <f>IF(H14="Yes","Done",IF(K14&gt;0,"Overdue",IF(I14-'Projects'!$B$2&lt;=7,"Due Soon","Open")))</f>
      </c>
      <c r="M14" s="18">
        <f>IF(K14&gt;0,1,0)</f>
      </c>
      <c r="N14" s="18">
        <f>IF(L14="Due Soon",1,0)</f>
      </c>
      <c r="O14" s="18">
        <f>IF(F14="","None",IF(IFERROR(INDEX($H$5:$H$30,MATCH(F14,$A$5:$A$30,0)),"No")="Yes","Clear","Waiting"))</f>
      </c>
      <c r="P14" s="18">
        <f>IF(H14="Yes",0,COUNTIFS($F$5:$F$30,A14,$H$5:$H$30,"No"))</f>
      </c>
      <c r="Q14" s="18">
        <f>IF(AND(M14=1,P14&gt;0),1,0)</f>
      </c>
      <c r="R14" s="24">
        <f>IF(K14&gt;0,K14+ROW()/10000,0)</f>
      </c>
      <c r="S14" s="18">
        <f>1</f>
      </c>
    </row>
    <row r="15" spans="1:19" x14ac:dyDescent="0.25">
      <c r="A15" s="14" t="s">
        <v>100</v>
      </c>
      <c r="B15" s="14" t="s">
        <v>49</v>
      </c>
      <c r="C15" s="22">
        <f>IFERROR(INDEX('Projects'!$B$5:$B$10,MATCH($B15,'Projects'!$A$5:$A$10,0)),"(unknown project)")</f>
      </c>
      <c r="D15" s="15" t="s">
        <v>101</v>
      </c>
      <c r="E15" s="16" t="s">
        <v>51</v>
      </c>
      <c r="F15" s="14" t="s">
        <v>98</v>
      </c>
      <c r="G15" s="23">
        <v>12</v>
      </c>
      <c r="H15" s="14" t="s">
        <v>87</v>
      </c>
      <c r="I15" s="17">
        <v>46367</v>
      </c>
      <c r="J15" s="19">
        <f>IF(H15="Yes",G15,0)</f>
      </c>
      <c r="K15" s="18">
        <f>IF(H15="Yes",0,MAX(0,'Projects'!$B$2-I15))</f>
      </c>
      <c r="L15" s="21">
        <f>IF(H15="Yes","Done",IF(K15&gt;0,"Overdue",IF(I15-'Projects'!$B$2&lt;=7,"Due Soon","Open")))</f>
      </c>
      <c r="M15" s="18">
        <f>IF(K15&gt;0,1,0)</f>
      </c>
      <c r="N15" s="18">
        <f>IF(L15="Due Soon",1,0)</f>
      </c>
      <c r="O15" s="18">
        <f>IF(F15="","None",IF(IFERROR(INDEX($H$5:$H$30,MATCH(F15,$A$5:$A$30,0)),"No")="Yes","Clear","Waiting"))</f>
      </c>
      <c r="P15" s="18">
        <f>IF(H15="Yes",0,COUNTIFS($F$5:$F$30,A15,$H$5:$H$30,"No"))</f>
      </c>
      <c r="Q15" s="18">
        <f>IF(AND(M15=1,P15&gt;0),1,0)</f>
      </c>
      <c r="R15" s="24">
        <f>IF(K15&gt;0,K15+ROW()/10000,0)</f>
      </c>
      <c r="S15" s="18">
        <f>1</f>
      </c>
    </row>
    <row r="16" spans="1:19" x14ac:dyDescent="0.25">
      <c r="A16" s="14" t="s">
        <v>102</v>
      </c>
      <c r="B16" s="14" t="s">
        <v>52</v>
      </c>
      <c r="C16" s="22">
        <f>IFERROR(INDEX('Projects'!$B$5:$B$10,MATCH($B16,'Projects'!$A$5:$A$10,0)),"(unknown project)")</f>
      </c>
      <c r="D16" s="15" t="s">
        <v>103</v>
      </c>
      <c r="E16" s="16" t="s">
        <v>54</v>
      </c>
      <c r="F16" s="14"/>
      <c r="G16" s="23">
        <v>6</v>
      </c>
      <c r="H16" s="14" t="s">
        <v>79</v>
      </c>
      <c r="I16" s="17">
        <v>46290</v>
      </c>
      <c r="J16" s="19">
        <f>IF(H16="Yes",G16,0)</f>
      </c>
      <c r="K16" s="18">
        <f>IF(H16="Yes",0,MAX(0,'Projects'!$B$2-I16))</f>
      </c>
      <c r="L16" s="21">
        <f>IF(H16="Yes","Done",IF(K16&gt;0,"Overdue",IF(I16-'Projects'!$B$2&lt;=7,"Due Soon","Open")))</f>
      </c>
      <c r="M16" s="18">
        <f>IF(K16&gt;0,1,0)</f>
      </c>
      <c r="N16" s="18">
        <f>IF(L16="Due Soon",1,0)</f>
      </c>
      <c r="O16" s="18">
        <f>IF(F16="","None",IF(IFERROR(INDEX($H$5:$H$30,MATCH(F16,$A$5:$A$30,0)),"No")="Yes","Clear","Waiting"))</f>
      </c>
      <c r="P16" s="18">
        <f>IF(H16="Yes",0,COUNTIFS($F$5:$F$30,A16,$H$5:$H$30,"No"))</f>
      </c>
      <c r="Q16" s="18">
        <f>IF(AND(M16=1,P16&gt;0),1,0)</f>
      </c>
      <c r="R16" s="24">
        <f>IF(K16&gt;0,K16+ROW()/10000,0)</f>
      </c>
      <c r="S16" s="18">
        <f>1</f>
      </c>
    </row>
    <row r="17" spans="1:19" x14ac:dyDescent="0.25">
      <c r="A17" s="14" t="s">
        <v>104</v>
      </c>
      <c r="B17" s="14" t="s">
        <v>52</v>
      </c>
      <c r="C17" s="22">
        <f>IFERROR(INDEX('Projects'!$B$5:$B$10,MATCH($B17,'Projects'!$A$5:$A$10,0)),"(unknown project)")</f>
      </c>
      <c r="D17" s="15" t="s">
        <v>105</v>
      </c>
      <c r="E17" s="16" t="s">
        <v>54</v>
      </c>
      <c r="F17" s="14" t="s">
        <v>102</v>
      </c>
      <c r="G17" s="23">
        <v>4</v>
      </c>
      <c r="H17" s="14" t="s">
        <v>79</v>
      </c>
      <c r="I17" s="17">
        <v>46293</v>
      </c>
      <c r="J17" s="19">
        <f>IF(H17="Yes",G17,0)</f>
      </c>
      <c r="K17" s="18">
        <f>IF(H17="Yes",0,MAX(0,'Projects'!$B$2-I17))</f>
      </c>
      <c r="L17" s="21">
        <f>IF(H17="Yes","Done",IF(K17&gt;0,"Overdue",IF(I17-'Projects'!$B$2&lt;=7,"Due Soon","Open")))</f>
      </c>
      <c r="M17" s="18">
        <f>IF(K17&gt;0,1,0)</f>
      </c>
      <c r="N17" s="18">
        <f>IF(L17="Due Soon",1,0)</f>
      </c>
      <c r="O17" s="18">
        <f>IF(F17="","None",IF(IFERROR(INDEX($H$5:$H$30,MATCH(F17,$A$5:$A$30,0)),"No")="Yes","Clear","Waiting"))</f>
      </c>
      <c r="P17" s="18">
        <f>IF(H17="Yes",0,COUNTIFS($F$5:$F$30,A17,$H$5:$H$30,"No"))</f>
      </c>
      <c r="Q17" s="18">
        <f>IF(AND(M17=1,P17&gt;0),1,0)</f>
      </c>
      <c r="R17" s="24">
        <f>IF(K17&gt;0,K17+ROW()/10000,0)</f>
      </c>
      <c r="S17" s="18">
        <f>1</f>
      </c>
    </row>
    <row r="18" spans="1:19" x14ac:dyDescent="0.25">
      <c r="A18" s="14" t="s">
        <v>106</v>
      </c>
      <c r="B18" s="14" t="s">
        <v>52</v>
      </c>
      <c r="C18" s="22">
        <f>IFERROR(INDEX('Projects'!$B$5:$B$10,MATCH($B18,'Projects'!$A$5:$A$10,0)),"(unknown project)")</f>
      </c>
      <c r="D18" s="15" t="s">
        <v>107</v>
      </c>
      <c r="E18" s="16" t="s">
        <v>82</v>
      </c>
      <c r="F18" s="14" t="s">
        <v>102</v>
      </c>
      <c r="G18" s="23">
        <v>12</v>
      </c>
      <c r="H18" s="14" t="s">
        <v>87</v>
      </c>
      <c r="I18" s="17">
        <v>46295</v>
      </c>
      <c r="J18" s="19">
        <f>IF(H18="Yes",G18,0)</f>
      </c>
      <c r="K18" s="18">
        <f>IF(H18="Yes",0,MAX(0,'Projects'!$B$2-I18))</f>
      </c>
      <c r="L18" s="21">
        <f>IF(H18="Yes","Done",IF(K18&gt;0,"Overdue",IF(I18-'Projects'!$B$2&lt;=7,"Due Soon","Open")))</f>
      </c>
      <c r="M18" s="18">
        <f>IF(K18&gt;0,1,0)</f>
      </c>
      <c r="N18" s="18">
        <f>IF(L18="Due Soon",1,0)</f>
      </c>
      <c r="O18" s="18">
        <f>IF(F18="","None",IF(IFERROR(INDEX($H$5:$H$30,MATCH(F18,$A$5:$A$30,0)),"No")="Yes","Clear","Waiting"))</f>
      </c>
      <c r="P18" s="18">
        <f>IF(H18="Yes",0,COUNTIFS($F$5:$F$30,A18,$H$5:$H$30,"No"))</f>
      </c>
      <c r="Q18" s="18">
        <f>IF(AND(M18=1,P18&gt;0),1,0)</f>
      </c>
      <c r="R18" s="24">
        <f>IF(K18&gt;0,K18+ROW()/10000,0)</f>
      </c>
      <c r="S18" s="18">
        <f>1</f>
      </c>
    </row>
    <row r="19" spans="1:19" x14ac:dyDescent="0.25">
      <c r="A19" s="14" t="s">
        <v>108</v>
      </c>
      <c r="B19" s="14" t="s">
        <v>52</v>
      </c>
      <c r="C19" s="22">
        <f>IFERROR(INDEX('Projects'!$B$5:$B$10,MATCH($B19,'Projects'!$A$5:$A$10,0)),"(unknown project)")</f>
      </c>
      <c r="D19" s="15" t="s">
        <v>109</v>
      </c>
      <c r="E19" s="16" t="s">
        <v>47</v>
      </c>
      <c r="F19" s="14" t="s">
        <v>106</v>
      </c>
      <c r="G19" s="23">
        <v>10</v>
      </c>
      <c r="H19" s="14" t="s">
        <v>87</v>
      </c>
      <c r="I19" s="17">
        <v>46306</v>
      </c>
      <c r="J19" s="19">
        <f>IF(H19="Yes",G19,0)</f>
      </c>
      <c r="K19" s="18">
        <f>IF(H19="Yes",0,MAX(0,'Projects'!$B$2-I19))</f>
      </c>
      <c r="L19" s="21">
        <f>IF(H19="Yes","Done",IF(K19&gt;0,"Overdue",IF(I19-'Projects'!$B$2&lt;=7,"Due Soon","Open")))</f>
      </c>
      <c r="M19" s="18">
        <f>IF(K19&gt;0,1,0)</f>
      </c>
      <c r="N19" s="18">
        <f>IF(L19="Due Soon",1,0)</f>
      </c>
      <c r="O19" s="18">
        <f>IF(F19="","None",IF(IFERROR(INDEX($H$5:$H$30,MATCH(F19,$A$5:$A$30,0)),"No")="Yes","Clear","Waiting"))</f>
      </c>
      <c r="P19" s="18">
        <f>IF(H19="Yes",0,COUNTIFS($F$5:$F$30,A19,$H$5:$H$30,"No"))</f>
      </c>
      <c r="Q19" s="18">
        <f>IF(AND(M19=1,P19&gt;0),1,0)</f>
      </c>
      <c r="R19" s="24">
        <f>IF(K19&gt;0,K19+ROW()/10000,0)</f>
      </c>
      <c r="S19" s="18">
        <f>1</f>
      </c>
    </row>
    <row r="20" spans="1:19" x14ac:dyDescent="0.25">
      <c r="A20" s="14" t="s">
        <v>110</v>
      </c>
      <c r="B20" s="14" t="s">
        <v>52</v>
      </c>
      <c r="C20" s="22">
        <f>IFERROR(INDEX('Projects'!$B$5:$B$10,MATCH($B20,'Projects'!$A$5:$A$10,0)),"(unknown project)")</f>
      </c>
      <c r="D20" s="15" t="s">
        <v>111</v>
      </c>
      <c r="E20" s="16" t="s">
        <v>54</v>
      </c>
      <c r="F20" s="14" t="s">
        <v>108</v>
      </c>
      <c r="G20" s="23">
        <v>8</v>
      </c>
      <c r="H20" s="14" t="s">
        <v>87</v>
      </c>
      <c r="I20" s="17">
        <v>46325</v>
      </c>
      <c r="J20" s="19">
        <f>IF(H20="Yes",G20,0)</f>
      </c>
      <c r="K20" s="18">
        <f>IF(H20="Yes",0,MAX(0,'Projects'!$B$2-I20))</f>
      </c>
      <c r="L20" s="21">
        <f>IF(H20="Yes","Done",IF(K20&gt;0,"Overdue",IF(I20-'Projects'!$B$2&lt;=7,"Due Soon","Open")))</f>
      </c>
      <c r="M20" s="18">
        <f>IF(K20&gt;0,1,0)</f>
      </c>
      <c r="N20" s="18">
        <f>IF(L20="Due Soon",1,0)</f>
      </c>
      <c r="O20" s="18">
        <f>IF(F20="","None",IF(IFERROR(INDEX($H$5:$H$30,MATCH(F20,$A$5:$A$30,0)),"No")="Yes","Clear","Waiting"))</f>
      </c>
      <c r="P20" s="18">
        <f>IF(H20="Yes",0,COUNTIFS($F$5:$F$30,A20,$H$5:$H$30,"No"))</f>
      </c>
      <c r="Q20" s="18">
        <f>IF(AND(M20=1,P20&gt;0),1,0)</f>
      </c>
      <c r="R20" s="24">
        <f>IF(K20&gt;0,K20+ROW()/10000,0)</f>
      </c>
      <c r="S20" s="18">
        <f>1</f>
      </c>
    </row>
    <row r="21" spans="1:19" x14ac:dyDescent="0.25">
      <c r="A21" s="14" t="s">
        <v>112</v>
      </c>
      <c r="B21" s="14" t="s">
        <v>55</v>
      </c>
      <c r="C21" s="22">
        <f>IFERROR(INDEX('Projects'!$B$5:$B$10,MATCH($B21,'Projects'!$A$5:$A$10,0)),"(unknown project)")</f>
      </c>
      <c r="D21" s="15" t="s">
        <v>113</v>
      </c>
      <c r="E21" s="16" t="s">
        <v>57</v>
      </c>
      <c r="F21" s="14"/>
      <c r="G21" s="23">
        <v>8</v>
      </c>
      <c r="H21" s="14" t="s">
        <v>79</v>
      </c>
      <c r="I21" s="17">
        <v>46269</v>
      </c>
      <c r="J21" s="19">
        <f>IF(H21="Yes",G21,0)</f>
      </c>
      <c r="K21" s="18">
        <f>IF(H21="Yes",0,MAX(0,'Projects'!$B$2-I21))</f>
      </c>
      <c r="L21" s="21">
        <f>IF(H21="Yes","Done",IF(K21&gt;0,"Overdue",IF(I21-'Projects'!$B$2&lt;=7,"Due Soon","Open")))</f>
      </c>
      <c r="M21" s="18">
        <f>IF(K21&gt;0,1,0)</f>
      </c>
      <c r="N21" s="18">
        <f>IF(L21="Due Soon",1,0)</f>
      </c>
      <c r="O21" s="18">
        <f>IF(F21="","None",IF(IFERROR(INDEX($H$5:$H$30,MATCH(F21,$A$5:$A$30,0)),"No")="Yes","Clear","Waiting"))</f>
      </c>
      <c r="P21" s="18">
        <f>IF(H21="Yes",0,COUNTIFS($F$5:$F$30,A21,$H$5:$H$30,"No"))</f>
      </c>
      <c r="Q21" s="18">
        <f>IF(AND(M21=1,P21&gt;0),1,0)</f>
      </c>
      <c r="R21" s="24">
        <f>IF(K21&gt;0,K21+ROW()/10000,0)</f>
      </c>
      <c r="S21" s="18">
        <f>1</f>
      </c>
    </row>
    <row r="22" spans="1:19" x14ac:dyDescent="0.25">
      <c r="A22" s="14" t="s">
        <v>114</v>
      </c>
      <c r="B22" s="14" t="s">
        <v>55</v>
      </c>
      <c r="C22" s="22">
        <f>IFERROR(INDEX('Projects'!$B$5:$B$10,MATCH($B22,'Projects'!$A$5:$A$10,0)),"(unknown project)")</f>
      </c>
      <c r="D22" s="15" t="s">
        <v>115</v>
      </c>
      <c r="E22" s="16" t="s">
        <v>57</v>
      </c>
      <c r="F22" s="14" t="s">
        <v>112</v>
      </c>
      <c r="G22" s="23">
        <v>6</v>
      </c>
      <c r="H22" s="14" t="s">
        <v>79</v>
      </c>
      <c r="I22" s="17">
        <v>46276</v>
      </c>
      <c r="J22" s="19">
        <f>IF(H22="Yes",G22,0)</f>
      </c>
      <c r="K22" s="18">
        <f>IF(H22="Yes",0,MAX(0,'Projects'!$B$2-I22))</f>
      </c>
      <c r="L22" s="21">
        <f>IF(H22="Yes","Done",IF(K22&gt;0,"Overdue",IF(I22-'Projects'!$B$2&lt;=7,"Due Soon","Open")))</f>
      </c>
      <c r="M22" s="18">
        <f>IF(K22&gt;0,1,0)</f>
      </c>
      <c r="N22" s="18">
        <f>IF(L22="Due Soon",1,0)</f>
      </c>
      <c r="O22" s="18">
        <f>IF(F22="","None",IF(IFERROR(INDEX($H$5:$H$30,MATCH(F22,$A$5:$A$30,0)),"No")="Yes","Clear","Waiting"))</f>
      </c>
      <c r="P22" s="18">
        <f>IF(H22="Yes",0,COUNTIFS($F$5:$F$30,A22,$H$5:$H$30,"No"))</f>
      </c>
      <c r="Q22" s="18">
        <f>IF(AND(M22=1,P22&gt;0),1,0)</f>
      </c>
      <c r="R22" s="24">
        <f>IF(K22&gt;0,K22+ROW()/10000,0)</f>
      </c>
      <c r="S22" s="18">
        <f>1</f>
      </c>
    </row>
    <row r="23" spans="1:19" x14ac:dyDescent="0.25">
      <c r="A23" s="14" t="s">
        <v>116</v>
      </c>
      <c r="B23" s="14" t="s">
        <v>55</v>
      </c>
      <c r="C23" s="22">
        <f>IFERROR(INDEX('Projects'!$B$5:$B$10,MATCH($B23,'Projects'!$A$5:$A$10,0)),"(unknown project)")</f>
      </c>
      <c r="D23" s="15" t="s">
        <v>117</v>
      </c>
      <c r="E23" s="16" t="s">
        <v>82</v>
      </c>
      <c r="F23" s="14" t="s">
        <v>114</v>
      </c>
      <c r="G23" s="23">
        <v>20</v>
      </c>
      <c r="H23" s="14" t="s">
        <v>87</v>
      </c>
      <c r="I23" s="17">
        <v>46296</v>
      </c>
      <c r="J23" s="19">
        <f>IF(H23="Yes",G23,0)</f>
      </c>
      <c r="K23" s="18">
        <f>IF(H23="Yes",0,MAX(0,'Projects'!$B$2-I23))</f>
      </c>
      <c r="L23" s="21">
        <f>IF(H23="Yes","Done",IF(K23&gt;0,"Overdue",IF(I23-'Projects'!$B$2&lt;=7,"Due Soon","Open")))</f>
      </c>
      <c r="M23" s="18">
        <f>IF(K23&gt;0,1,0)</f>
      </c>
      <c r="N23" s="18">
        <f>IF(L23="Due Soon",1,0)</f>
      </c>
      <c r="O23" s="18">
        <f>IF(F23="","None",IF(IFERROR(INDEX($H$5:$H$30,MATCH(F23,$A$5:$A$30,0)),"No")="Yes","Clear","Waiting"))</f>
      </c>
      <c r="P23" s="18">
        <f>IF(H23="Yes",0,COUNTIFS($F$5:$F$30,A23,$H$5:$H$30,"No"))</f>
      </c>
      <c r="Q23" s="18">
        <f>IF(AND(M23=1,P23&gt;0),1,0)</f>
      </c>
      <c r="R23" s="24">
        <f>IF(K23&gt;0,K23+ROW()/10000,0)</f>
      </c>
      <c r="S23" s="18">
        <f>1</f>
      </c>
    </row>
    <row r="24" spans="1:19" x14ac:dyDescent="0.25">
      <c r="A24" s="14" t="s">
        <v>118</v>
      </c>
      <c r="B24" s="14" t="s">
        <v>55</v>
      </c>
      <c r="C24" s="22">
        <f>IFERROR(INDEX('Projects'!$B$5:$B$10,MATCH($B24,'Projects'!$A$5:$A$10,0)),"(unknown project)")</f>
      </c>
      <c r="D24" s="15" t="s">
        <v>119</v>
      </c>
      <c r="E24" s="16" t="s">
        <v>54</v>
      </c>
      <c r="F24" s="14" t="s">
        <v>114</v>
      </c>
      <c r="G24" s="23">
        <v>14</v>
      </c>
      <c r="H24" s="14" t="s">
        <v>87</v>
      </c>
      <c r="I24" s="17">
        <v>46297</v>
      </c>
      <c r="J24" s="19">
        <f>IF(H24="Yes",G24,0)</f>
      </c>
      <c r="K24" s="18">
        <f>IF(H24="Yes",0,MAX(0,'Projects'!$B$2-I24))</f>
      </c>
      <c r="L24" s="21">
        <f>IF(H24="Yes","Done",IF(K24&gt;0,"Overdue",IF(I24-'Projects'!$B$2&lt;=7,"Due Soon","Open")))</f>
      </c>
      <c r="M24" s="18">
        <f>IF(K24&gt;0,1,0)</f>
      </c>
      <c r="N24" s="18">
        <f>IF(L24="Due Soon",1,0)</f>
      </c>
      <c r="O24" s="18">
        <f>IF(F24="","None",IF(IFERROR(INDEX($H$5:$H$30,MATCH(F24,$A$5:$A$30,0)),"No")="Yes","Clear","Waiting"))</f>
      </c>
      <c r="P24" s="18">
        <f>IF(H24="Yes",0,COUNTIFS($F$5:$F$30,A24,$H$5:$H$30,"No"))</f>
      </c>
      <c r="Q24" s="18">
        <f>IF(AND(M24=1,P24&gt;0),1,0)</f>
      </c>
      <c r="R24" s="24">
        <f>IF(K24&gt;0,K24+ROW()/10000,0)</f>
      </c>
      <c r="S24" s="18">
        <f>1</f>
      </c>
    </row>
    <row r="25" spans="1:19" x14ac:dyDescent="0.25">
      <c r="A25" s="14" t="s">
        <v>120</v>
      </c>
      <c r="B25" s="14" t="s">
        <v>55</v>
      </c>
      <c r="C25" s="22">
        <f>IFERROR(INDEX('Projects'!$B$5:$B$10,MATCH($B25,'Projects'!$A$5:$A$10,0)),"(unknown project)")</f>
      </c>
      <c r="D25" s="15" t="s">
        <v>121</v>
      </c>
      <c r="E25" s="16" t="s">
        <v>57</v>
      </c>
      <c r="F25" s="14" t="s">
        <v>116</v>
      </c>
      <c r="G25" s="23">
        <v>10</v>
      </c>
      <c r="H25" s="14" t="s">
        <v>87</v>
      </c>
      <c r="I25" s="17">
        <v>46311</v>
      </c>
      <c r="J25" s="19">
        <f>IF(H25="Yes",G25,0)</f>
      </c>
      <c r="K25" s="18">
        <f>IF(H25="Yes",0,MAX(0,'Projects'!$B$2-I25))</f>
      </c>
      <c r="L25" s="21">
        <f>IF(H25="Yes","Done",IF(K25&gt;0,"Overdue",IF(I25-'Projects'!$B$2&lt;=7,"Due Soon","Open")))</f>
      </c>
      <c r="M25" s="18">
        <f>IF(K25&gt;0,1,0)</f>
      </c>
      <c r="N25" s="18">
        <f>IF(L25="Due Soon",1,0)</f>
      </c>
      <c r="O25" s="18">
        <f>IF(F25="","None",IF(IFERROR(INDEX($H$5:$H$30,MATCH(F25,$A$5:$A$30,0)),"No")="Yes","Clear","Waiting"))</f>
      </c>
      <c r="P25" s="18">
        <f>IF(H25="Yes",0,COUNTIFS($F$5:$F$30,A25,$H$5:$H$30,"No"))</f>
      </c>
      <c r="Q25" s="18">
        <f>IF(AND(M25=1,P25&gt;0),1,0)</f>
      </c>
      <c r="R25" s="24">
        <f>IF(K25&gt;0,K25+ROW()/10000,0)</f>
      </c>
      <c r="S25" s="18">
        <f>1</f>
      </c>
    </row>
    <row r="26" spans="1:19" x14ac:dyDescent="0.25">
      <c r="A26" s="14" t="s">
        <v>122</v>
      </c>
      <c r="B26" s="14" t="s">
        <v>58</v>
      </c>
      <c r="C26" s="22">
        <f>IFERROR(INDEX('Projects'!$B$5:$B$10,MATCH($B26,'Projects'!$A$5:$A$10,0)),"(unknown project)")</f>
      </c>
      <c r="D26" s="15" t="s">
        <v>123</v>
      </c>
      <c r="E26" s="16" t="s">
        <v>47</v>
      </c>
      <c r="F26" s="14"/>
      <c r="G26" s="23">
        <v>10</v>
      </c>
      <c r="H26" s="14" t="s">
        <v>79</v>
      </c>
      <c r="I26" s="17">
        <v>46241</v>
      </c>
      <c r="J26" s="19">
        <f>IF(H26="Yes",G26,0)</f>
      </c>
      <c r="K26" s="18">
        <f>IF(H26="Yes",0,MAX(0,'Projects'!$B$2-I26))</f>
      </c>
      <c r="L26" s="21">
        <f>IF(H26="Yes","Done",IF(K26&gt;0,"Overdue",IF(I26-'Projects'!$B$2&lt;=7,"Due Soon","Open")))</f>
      </c>
      <c r="M26" s="18">
        <f>IF(K26&gt;0,1,0)</f>
      </c>
      <c r="N26" s="18">
        <f>IF(L26="Due Soon",1,0)</f>
      </c>
      <c r="O26" s="18">
        <f>IF(F26="","None",IF(IFERROR(INDEX($H$5:$H$30,MATCH(F26,$A$5:$A$30,0)),"No")="Yes","Clear","Waiting"))</f>
      </c>
      <c r="P26" s="18">
        <f>IF(H26="Yes",0,COUNTIFS($F$5:$F$30,A26,$H$5:$H$30,"No"))</f>
      </c>
      <c r="Q26" s="18">
        <f>IF(AND(M26=1,P26&gt;0),1,0)</f>
      </c>
      <c r="R26" s="24">
        <f>IF(K26&gt;0,K26+ROW()/10000,0)</f>
      </c>
      <c r="S26" s="18">
        <f>1</f>
      </c>
    </row>
    <row r="27" spans="1:19" x14ac:dyDescent="0.25">
      <c r="A27" s="14" t="s">
        <v>124</v>
      </c>
      <c r="B27" s="14" t="s">
        <v>58</v>
      </c>
      <c r="C27" s="22">
        <f>IFERROR(INDEX('Projects'!$B$5:$B$10,MATCH($B27,'Projects'!$A$5:$A$10,0)),"(unknown project)")</f>
      </c>
      <c r="D27" s="15" t="s">
        <v>125</v>
      </c>
      <c r="E27" s="16" t="s">
        <v>47</v>
      </c>
      <c r="F27" s="14" t="s">
        <v>122</v>
      </c>
      <c r="G27" s="23">
        <v>14</v>
      </c>
      <c r="H27" s="14" t="s">
        <v>79</v>
      </c>
      <c r="I27" s="17">
        <v>46269</v>
      </c>
      <c r="J27" s="19">
        <f>IF(H27="Yes",G27,0)</f>
      </c>
      <c r="K27" s="18">
        <f>IF(H27="Yes",0,MAX(0,'Projects'!$B$2-I27))</f>
      </c>
      <c r="L27" s="21">
        <f>IF(H27="Yes","Done",IF(K27&gt;0,"Overdue",IF(I27-'Projects'!$B$2&lt;=7,"Due Soon","Open")))</f>
      </c>
      <c r="M27" s="18">
        <f>IF(K27&gt;0,1,0)</f>
      </c>
      <c r="N27" s="18">
        <f>IF(L27="Due Soon",1,0)</f>
      </c>
      <c r="O27" s="18">
        <f>IF(F27="","None",IF(IFERROR(INDEX($H$5:$H$30,MATCH(F27,$A$5:$A$30,0)),"No")="Yes","Clear","Waiting"))</f>
      </c>
      <c r="P27" s="18">
        <f>IF(H27="Yes",0,COUNTIFS($F$5:$F$30,A27,$H$5:$H$30,"No"))</f>
      </c>
      <c r="Q27" s="18">
        <f>IF(AND(M27=1,P27&gt;0),1,0)</f>
      </c>
      <c r="R27" s="24">
        <f>IF(K27&gt;0,K27+ROW()/10000,0)</f>
      </c>
      <c r="S27" s="18">
        <f>1</f>
      </c>
    </row>
    <row r="28" spans="1:19" x14ac:dyDescent="0.25">
      <c r="A28" s="14" t="s">
        <v>126</v>
      </c>
      <c r="B28" s="14" t="s">
        <v>58</v>
      </c>
      <c r="C28" s="22">
        <f>IFERROR(INDEX('Projects'!$B$5:$B$10,MATCH($B28,'Projects'!$A$5:$A$10,0)),"(unknown project)")</f>
      </c>
      <c r="D28" s="15" t="s">
        <v>127</v>
      </c>
      <c r="E28" s="16" t="s">
        <v>82</v>
      </c>
      <c r="F28" s="14" t="s">
        <v>124</v>
      </c>
      <c r="G28" s="23">
        <v>6</v>
      </c>
      <c r="H28" s="14" t="s">
        <v>79</v>
      </c>
      <c r="I28" s="17">
        <v>46287</v>
      </c>
      <c r="J28" s="19">
        <f>IF(H28="Yes",G28,0)</f>
      </c>
      <c r="K28" s="18">
        <f>IF(H28="Yes",0,MAX(0,'Projects'!$B$2-I28))</f>
      </c>
      <c r="L28" s="21">
        <f>IF(H28="Yes","Done",IF(K28&gt;0,"Overdue",IF(I28-'Projects'!$B$2&lt;=7,"Due Soon","Open")))</f>
      </c>
      <c r="M28" s="18">
        <f>IF(K28&gt;0,1,0)</f>
      </c>
      <c r="N28" s="18">
        <f>IF(L28="Due Soon",1,0)</f>
      </c>
      <c r="O28" s="18">
        <f>IF(F28="","None",IF(IFERROR(INDEX($H$5:$H$30,MATCH(F28,$A$5:$A$30,0)),"No")="Yes","Clear","Waiting"))</f>
      </c>
      <c r="P28" s="18">
        <f>IF(H28="Yes",0,COUNTIFS($F$5:$F$30,A28,$H$5:$H$30,"No"))</f>
      </c>
      <c r="Q28" s="18">
        <f>IF(AND(M28=1,P28&gt;0),1,0)</f>
      </c>
      <c r="R28" s="24">
        <f>IF(K28&gt;0,K28+ROW()/10000,0)</f>
      </c>
      <c r="S28" s="18">
        <f>1</f>
      </c>
    </row>
    <row r="29" spans="1:19" x14ac:dyDescent="0.25">
      <c r="A29" s="14" t="s">
        <v>128</v>
      </c>
      <c r="B29" s="14" t="s">
        <v>61</v>
      </c>
      <c r="C29" s="22">
        <f>IFERROR(INDEX('Projects'!$B$5:$B$10,MATCH($B29,'Projects'!$A$5:$A$10,0)),"(unknown project)")</f>
      </c>
      <c r="D29" s="15" t="s">
        <v>129</v>
      </c>
      <c r="E29" s="16" t="s">
        <v>54</v>
      </c>
      <c r="F29" s="14"/>
      <c r="G29" s="23">
        <v>12</v>
      </c>
      <c r="H29" s="14" t="s">
        <v>87</v>
      </c>
      <c r="I29" s="17">
        <v>46339</v>
      </c>
      <c r="J29" s="19">
        <f>IF(H29="Yes",G29,0)</f>
      </c>
      <c r="K29" s="18">
        <f>IF(H29="Yes",0,MAX(0,'Projects'!$B$2-I29))</f>
      </c>
      <c r="L29" s="21">
        <f>IF(H29="Yes","Done",IF(K29&gt;0,"Overdue",IF(I29-'Projects'!$B$2&lt;=7,"Due Soon","Open")))</f>
      </c>
      <c r="M29" s="18">
        <f>IF(K29&gt;0,1,0)</f>
      </c>
      <c r="N29" s="18">
        <f>IF(L29="Due Soon",1,0)</f>
      </c>
      <c r="O29" s="18">
        <f>IF(F29="","None",IF(IFERROR(INDEX($H$5:$H$30,MATCH(F29,$A$5:$A$30,0)),"No")="Yes","Clear","Waiting"))</f>
      </c>
      <c r="P29" s="18">
        <f>IF(H29="Yes",0,COUNTIFS($F$5:$F$30,A29,$H$5:$H$30,"No"))</f>
      </c>
      <c r="Q29" s="18">
        <f>IF(AND(M29=1,P29&gt;0),1,0)</f>
      </c>
      <c r="R29" s="24">
        <f>IF(K29&gt;0,K29+ROW()/10000,0)</f>
      </c>
      <c r="S29" s="18">
        <f>1</f>
      </c>
    </row>
    <row r="30" spans="1:19" x14ac:dyDescent="0.25">
      <c r="A30" s="14" t="s">
        <v>130</v>
      </c>
      <c r="B30" s="14" t="s">
        <v>61</v>
      </c>
      <c r="C30" s="22">
        <f>IFERROR(INDEX('Projects'!$B$5:$B$10,MATCH($B30,'Projects'!$A$5:$A$10,0)),"(unknown project)")</f>
      </c>
      <c r="D30" s="15" t="s">
        <v>131</v>
      </c>
      <c r="E30" s="16" t="s">
        <v>51</v>
      </c>
      <c r="F30" s="14" t="s">
        <v>128</v>
      </c>
      <c r="G30" s="23">
        <v>6</v>
      </c>
      <c r="H30" s="14" t="s">
        <v>87</v>
      </c>
      <c r="I30" s="17">
        <v>46360</v>
      </c>
      <c r="J30" s="19">
        <f>IF(H30="Yes",G30,0)</f>
      </c>
      <c r="K30" s="18">
        <f>IF(H30="Yes",0,MAX(0,'Projects'!$B$2-I30))</f>
      </c>
      <c r="L30" s="21">
        <f>IF(H30="Yes","Done",IF(K30&gt;0,"Overdue",IF(I30-'Projects'!$B$2&lt;=7,"Due Soon","Open")))</f>
      </c>
      <c r="M30" s="18">
        <f>IF(K30&gt;0,1,0)</f>
      </c>
      <c r="N30" s="18">
        <f>IF(L30="Due Soon",1,0)</f>
      </c>
      <c r="O30" s="18">
        <f>IF(F30="","None",IF(IFERROR(INDEX($H$5:$H$30,MATCH(F30,$A$5:$A$30,0)),"No")="Yes","Clear","Waiting"))</f>
      </c>
      <c r="P30" s="18">
        <f>IF(H30="Yes",0,COUNTIFS($F$5:$F$30,A30,$H$5:$H$30,"No"))</f>
      </c>
      <c r="Q30" s="18">
        <f>IF(AND(M30=1,P30&gt;0),1,0)</f>
      </c>
      <c r="R30" s="24">
        <f>IF(K30&gt;0,K30+ROW()/10000,0)</f>
      </c>
      <c r="S30" s="18">
        <f>1</f>
      </c>
    </row>
  </sheetData>
  <mergeCells count="1">
    <mergeCell ref="A1:N1"/>
  </mergeCells>
  <conditionalFormatting sqref="L5:L30">
    <cfRule type="cellIs" dxfId="3" priority="1" operator="equal">
      <formula>"Overdue"</formula>
    </cfRule>
    <cfRule type="cellIs" dxfId="4" priority="2" operator="equal">
      <formula>"Due Soon"</formula>
    </cfRule>
    <cfRule type="cellIs" dxfId="5" priority="3" operator="equal">
      <formula>"Done"</formula>
    </cfRule>
  </conditionalFormatting>
  <dataValidations count="8">
    <dataValidation type="list" showErrorMessage="1" errorTitle="Unknown project" error="Pick a Project ID from the Projects sheet." sqref="B10:B30">
      <formula1>'Projects'!$A$5:$A$10</formula1>
    </dataValidation>
    <dataValidation type="list" showErrorMessage="1" errorTitle="Unknown project" error="Pick a Project ID from the Projects sheet." sqref="B5:B30">
      <formula1>'Projects'!$A$5:$A$10</formula1>
    </dataValidation>
    <dataValidation type="list" allowBlank="1" showErrorMessage="1" errorTitle="Unknown owner" error="Pick a name from the Team sheet." sqref="E10:E30">
      <formula1>'Team'!$A$5:$A$9</formula1>
    </dataValidation>
    <dataValidation type="list" allowBlank="1" showErrorMessage="1" errorTitle="Unknown owner" error="Pick a name from the Team sheet." sqref="E5:E30">
      <formula1>'Team'!$A$5:$A$9</formula1>
    </dataValidation>
    <dataValidation type="decimal" allowBlank="1" showErrorMessage="1" errorTitle="Invalid planned hours" error="Enter a number between 0 and 1000" sqref="G10:G30">
      <formula1>0</formula1>
      <formula2>1000</formula2>
    </dataValidation>
    <dataValidation type="decimal" allowBlank="1" showErrorMessage="1" errorTitle="Invalid planned hours" error="Enter a number between 0 and 1000" sqref="G5:G30">
      <formula1>0</formula1>
      <formula2>1000</formula2>
    </dataValidation>
    <dataValidation type="list" showErrorMessage="1" errorTitle="Invalid done flag" error="Choose one of: Yes, No" sqref="H10:H30">
      <formula1>"Yes,No"</formula1>
    </dataValidation>
    <dataValidation type="list" showErrorMessage="1" errorTitle="Invalid done flag" error="Choose one of: Yes, No" sqref="H5:H30">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pane ySplit="4" topLeftCell="A5" activePane="bottomLeft" state="frozen"/>
      <selection pane="bottomLeft"/>
    </sheetView>
  </sheetViews>
  <sheetFormatPr defaultRowHeight="15" outlineLevelRow="0" outlineLevelCol="0" x14ac:dyDescent="55"/>
  <cols>
    <col min="1" max="2" width="18" customWidth="1"/>
    <col min="3" max="3" width="14" customWidth="1"/>
    <col min="4" max="6" width="11" customWidth="1"/>
    <col min="7" max="8" width="14" customWidth="1"/>
    <col min="9" max="9" width="10" customWidth="1"/>
  </cols>
  <sheetData>
    <row r="1" ht="45" customHeight="1" spans="1:9" x14ac:dyDescent="0.25">
      <c r="A1" s="2" t="s">
        <v>132</v>
      </c>
      <c r="B1" s="2"/>
      <c r="C1" s="2"/>
      <c r="D1" s="2"/>
      <c r="E1" s="2"/>
      <c r="F1" s="2"/>
      <c r="G1" s="2"/>
      <c r="H1" s="2"/>
      <c r="I1" s="2"/>
    </row>
    <row r="4" ht="30" customHeight="1" spans="1:9" x14ac:dyDescent="0.25">
      <c r="A4" s="13" t="s">
        <v>133</v>
      </c>
      <c r="B4" s="13" t="s">
        <v>134</v>
      </c>
      <c r="C4" s="13" t="s">
        <v>135</v>
      </c>
      <c r="D4" s="13" t="s">
        <v>136</v>
      </c>
      <c r="E4" s="13" t="s">
        <v>137</v>
      </c>
      <c r="F4" s="13" t="s">
        <v>42</v>
      </c>
      <c r="G4" s="13" t="s">
        <v>138</v>
      </c>
      <c r="H4" s="13" t="s">
        <v>139</v>
      </c>
      <c r="I4" s="13" t="s">
        <v>140</v>
      </c>
    </row>
    <row r="5" spans="1:9" x14ac:dyDescent="0.25">
      <c r="A5" s="16" t="s">
        <v>47</v>
      </c>
      <c r="B5" s="16" t="s">
        <v>141</v>
      </c>
      <c r="C5" s="14">
        <v>20</v>
      </c>
      <c r="D5" s="18">
        <f>COUNTIFS('Tasks'!$E$5:$E$30,$A5,'Tasks'!$H$5:$H$30,"No")</f>
      </c>
      <c r="E5" s="19">
        <f>SUMIFS('Tasks'!$G$5:$G$30,'Tasks'!$E$5:$E$30,$A5,'Tasks'!$H$5:$H$30,"No")</f>
      </c>
      <c r="F5" s="18">
        <f>SUMIF('Tasks'!$E$5:$E$30,$A5,'Tasks'!$M$5:$M$30)</f>
      </c>
      <c r="G5" s="19">
        <f>SUMIFS('Tasks'!$G$5:$G$30,'Tasks'!$E$5:$E$30,$A5,'Tasks'!$H$5:$H$30,"No",'Tasks'!$I$5:$I$30,"&lt;="&amp;('Projects'!$B$2+14))</f>
      </c>
      <c r="H5" s="20">
        <f>IF(C5&gt;0,G5/(C5*2),IF(G5&gt;0,"No capacity",0))</f>
      </c>
      <c r="I5" s="21">
        <f>IF(AND(N(C5)&lt;=0,G5&gt;0),"Over",IF(H5&gt;1,"Over",IF(H5&gt;=0.8,"Near","OK")))</f>
      </c>
    </row>
    <row r="6" spans="1:9" x14ac:dyDescent="0.25">
      <c r="A6" s="16" t="s">
        <v>51</v>
      </c>
      <c r="B6" s="16" t="s">
        <v>142</v>
      </c>
      <c r="C6" s="14">
        <v>20</v>
      </c>
      <c r="D6" s="18">
        <f>COUNTIFS('Tasks'!$E$5:$E$30,$A6,'Tasks'!$H$5:$H$30,"No")</f>
      </c>
      <c r="E6" s="19">
        <f>SUMIFS('Tasks'!$G$5:$G$30,'Tasks'!$E$5:$E$30,$A6,'Tasks'!$H$5:$H$30,"No")</f>
      </c>
      <c r="F6" s="18">
        <f>SUMIF('Tasks'!$E$5:$E$30,$A6,'Tasks'!$M$5:$M$30)</f>
      </c>
      <c r="G6" s="19">
        <f>SUMIFS('Tasks'!$G$5:$G$30,'Tasks'!$E$5:$E$30,$A6,'Tasks'!$H$5:$H$30,"No",'Tasks'!$I$5:$I$30,"&lt;="&amp;('Projects'!$B$2+14))</f>
      </c>
      <c r="H6" s="20">
        <f>IF(C6&gt;0,G6/(C6*2),IF(G6&gt;0,"No capacity",0))</f>
      </c>
      <c r="I6" s="21">
        <f>IF(AND(N(C6)&lt;=0,G6&gt;0),"Over",IF(H6&gt;1,"Over",IF(H6&gt;=0.8,"Near","OK")))</f>
      </c>
    </row>
    <row r="7" spans="1:9" x14ac:dyDescent="0.25">
      <c r="A7" s="16" t="s">
        <v>54</v>
      </c>
      <c r="B7" s="16" t="s">
        <v>143</v>
      </c>
      <c r="C7" s="14">
        <v>16</v>
      </c>
      <c r="D7" s="18">
        <f>COUNTIFS('Tasks'!$E$5:$E$30,$A7,'Tasks'!$H$5:$H$30,"No")</f>
      </c>
      <c r="E7" s="19">
        <f>SUMIFS('Tasks'!$G$5:$G$30,'Tasks'!$E$5:$E$30,$A7,'Tasks'!$H$5:$H$30,"No")</f>
      </c>
      <c r="F7" s="18">
        <f>SUMIF('Tasks'!$E$5:$E$30,$A7,'Tasks'!$M$5:$M$30)</f>
      </c>
      <c r="G7" s="19">
        <f>SUMIFS('Tasks'!$G$5:$G$30,'Tasks'!$E$5:$E$30,$A7,'Tasks'!$H$5:$H$30,"No",'Tasks'!$I$5:$I$30,"&lt;="&amp;('Projects'!$B$2+14))</f>
      </c>
      <c r="H7" s="20">
        <f>IF(C7&gt;0,G7/(C7*2),IF(G7&gt;0,"No capacity",0))</f>
      </c>
      <c r="I7" s="21">
        <f>IF(AND(N(C7)&lt;=0,G7&gt;0),"Over",IF(H7&gt;1,"Over",IF(H7&gt;=0.8,"Near","OK")))</f>
      </c>
    </row>
    <row r="8" spans="1:9" x14ac:dyDescent="0.25">
      <c r="A8" s="16" t="s">
        <v>57</v>
      </c>
      <c r="B8" s="16" t="s">
        <v>144</v>
      </c>
      <c r="C8" s="14">
        <v>12</v>
      </c>
      <c r="D8" s="18">
        <f>COUNTIFS('Tasks'!$E$5:$E$30,$A8,'Tasks'!$H$5:$H$30,"No")</f>
      </c>
      <c r="E8" s="19">
        <f>SUMIFS('Tasks'!$G$5:$G$30,'Tasks'!$E$5:$E$30,$A8,'Tasks'!$H$5:$H$30,"No")</f>
      </c>
      <c r="F8" s="18">
        <f>SUMIF('Tasks'!$E$5:$E$30,$A8,'Tasks'!$M$5:$M$30)</f>
      </c>
      <c r="G8" s="19">
        <f>SUMIFS('Tasks'!$G$5:$G$30,'Tasks'!$E$5:$E$30,$A8,'Tasks'!$H$5:$H$30,"No",'Tasks'!$I$5:$I$30,"&lt;="&amp;('Projects'!$B$2+14))</f>
      </c>
      <c r="H8" s="20">
        <f>IF(C8&gt;0,G8/(C8*2),IF(G8&gt;0,"No capacity",0))</f>
      </c>
      <c r="I8" s="21">
        <f>IF(AND(N(C8)&lt;=0,G8&gt;0),"Over",IF(H8&gt;1,"Over",IF(H8&gt;=0.8,"Near","OK")))</f>
      </c>
    </row>
    <row r="9" spans="1:9" x14ac:dyDescent="0.25">
      <c r="A9" s="16" t="s">
        <v>82</v>
      </c>
      <c r="B9" s="16" t="s">
        <v>145</v>
      </c>
      <c r="C9" s="14">
        <v>20</v>
      </c>
      <c r="D9" s="18">
        <f>COUNTIFS('Tasks'!$E$5:$E$30,$A9,'Tasks'!$H$5:$H$30,"No")</f>
      </c>
      <c r="E9" s="19">
        <f>SUMIFS('Tasks'!$G$5:$G$30,'Tasks'!$E$5:$E$30,$A9,'Tasks'!$H$5:$H$30,"No")</f>
      </c>
      <c r="F9" s="18">
        <f>SUMIF('Tasks'!$E$5:$E$30,$A9,'Tasks'!$M$5:$M$30)</f>
      </c>
      <c r="G9" s="19">
        <f>SUMIFS('Tasks'!$G$5:$G$30,'Tasks'!$E$5:$E$30,$A9,'Tasks'!$H$5:$H$30,"No",'Tasks'!$I$5:$I$30,"&lt;="&amp;('Projects'!$B$2+14))</f>
      </c>
      <c r="H9" s="20">
        <f>IF(C9&gt;0,G9/(C9*2),IF(G9&gt;0,"No capacity",0))</f>
      </c>
      <c r="I9" s="21">
        <f>IF(AND(N(C9)&lt;=0,G9&gt;0),"Over",IF(H9&gt;1,"Over",IF(H9&gt;=0.8,"Near","OK")))</f>
      </c>
    </row>
  </sheetData>
  <mergeCells count="1">
    <mergeCell ref="A1:I1"/>
  </mergeCells>
  <conditionalFormatting sqref="I5:I9">
    <cfRule type="cellIs" dxfId="6" priority="1" operator="equal">
      <formula>"Over"</formula>
    </cfRule>
    <cfRule type="cellIs" dxfId="7" priority="2" operator="equal">
      <formula>"Near"</formula>
    </cfRule>
    <cfRule type="cellIs" dxfId="8" priority="3" operator="equal">
      <formula>"OK"</formula>
    </cfRule>
  </conditionalFormatting>
  <dataValidations count="1">
    <dataValidation type="decimal" allowBlank="1" showErrorMessage="1" errorTitle="Invalid weekly capacity" error="Enter a number between 0 and 168" sqref="C5:C9">
      <formula1>0</formula1>
      <formula2>168</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owGridLines="0"/>
  </sheetViews>
  <sheetFormatPr defaultRowHeight="15" outlineLevelRow="0" outlineLevelCol="0" x14ac:dyDescent="55"/>
  <cols>
    <col min="1" max="1" width="32" customWidth="1"/>
    <col min="2" max="2" width="22" customWidth="1"/>
    <col min="3" max="4" width="16" customWidth="1"/>
    <col min="5" max="5" width="18" customWidth="1"/>
    <col min="6" max="6" width="16" customWidth="1"/>
  </cols>
  <sheetData>
    <row r="1" spans="1:6" x14ac:dyDescent="0.25">
      <c r="A1" s="1" t="s">
        <v>0</v>
      </c>
      <c r="B1" s="1"/>
      <c r="C1" s="1"/>
      <c r="D1" s="1"/>
      <c r="E1" s="1"/>
      <c r="F1" s="1"/>
    </row>
    <row r="2" spans="1:3" x14ac:dyDescent="0.25">
      <c r="A2" s="2"/>
      <c r="B2" s="2"/>
      <c r="C2" s="2"/>
    </row>
    <row r="3" spans="1:3" x14ac:dyDescent="0.25">
      <c r="A3" s="5" t="s">
        <v>146</v>
      </c>
      <c r="B3" s="25">
        <f>'Projects'!$B$2</f>
      </c>
      <c r="C3" s="2"/>
    </row>
    <row r="4" spans="1:3" x14ac:dyDescent="0.25">
      <c r="A4" s="2"/>
      <c r="B4" s="2"/>
      <c r="C4" s="2"/>
    </row>
    <row r="5" spans="1:6" x14ac:dyDescent="0.25">
      <c r="A5" s="3" t="s">
        <v>147</v>
      </c>
      <c r="B5" s="3"/>
      <c r="C5" s="3"/>
      <c r="D5" s="3"/>
      <c r="E5" s="3"/>
      <c r="F5" s="3"/>
    </row>
    <row r="6" ht="30" customHeight="1" spans="1:6" x14ac:dyDescent="0.25">
      <c r="A6" s="13" t="s">
        <v>148</v>
      </c>
      <c r="B6" s="13" t="s">
        <v>149</v>
      </c>
      <c r="C6" s="13" t="s">
        <v>150</v>
      </c>
      <c r="D6" s="13"/>
      <c r="E6" s="13"/>
      <c r="F6" s="13"/>
    </row>
    <row r="7" ht="15" customHeight="1" spans="1:6" x14ac:dyDescent="0.25">
      <c r="A7" s="5" t="s">
        <v>151</v>
      </c>
      <c r="B7" s="26">
        <f>COUNTIF('Projects'!$F$5:$F$10,"Active")</f>
      </c>
      <c r="C7" s="7" t="s">
        <v>152</v>
      </c>
      <c r="D7" s="7"/>
      <c r="E7" s="7"/>
      <c r="F7" s="7"/>
    </row>
    <row r="8" ht="30" customHeight="1" spans="1:6" x14ac:dyDescent="0.25">
      <c r="A8" s="5" t="s">
        <v>153</v>
      </c>
      <c r="B8" s="26">
        <f>COUNTIF('Projects'!$N$5:$N$10,"Red")</f>
      </c>
      <c r="C8" s="7" t="s">
        <v>154</v>
      </c>
      <c r="D8" s="7"/>
      <c r="E8" s="7"/>
      <c r="F8" s="7"/>
    </row>
    <row r="9" ht="30" customHeight="1" spans="1:6" x14ac:dyDescent="0.25">
      <c r="A9" s="5" t="s">
        <v>155</v>
      </c>
      <c r="B9" s="26">
        <f>COUNTIF('Projects'!$N$5:$N$10,"Amber")</f>
      </c>
      <c r="C9" s="7" t="s">
        <v>156</v>
      </c>
      <c r="D9" s="7"/>
      <c r="E9" s="7"/>
      <c r="F9" s="7"/>
    </row>
    <row r="10" ht="30" customHeight="1" spans="1:6" x14ac:dyDescent="0.25">
      <c r="A10" s="5" t="s">
        <v>157</v>
      </c>
      <c r="B10" s="27">
        <f>IFERROR(SUM('Projects'!$I$5:$I$10)/SUM('Projects'!$H$5:$H$10),0)</f>
      </c>
      <c r="C10" s="7" t="s">
        <v>158</v>
      </c>
      <c r="D10" s="7"/>
      <c r="E10" s="7"/>
      <c r="F10" s="7"/>
    </row>
    <row r="11" ht="15" customHeight="1" spans="1:6" x14ac:dyDescent="0.25">
      <c r="A11" s="5" t="s">
        <v>159</v>
      </c>
      <c r="B11" s="26">
        <f>COUNTIF('Tasks'!$H$5:$H$30,"No")</f>
      </c>
      <c r="C11" s="7" t="s">
        <v>160</v>
      </c>
      <c r="D11" s="7"/>
      <c r="E11" s="7"/>
      <c r="F11" s="7"/>
    </row>
    <row r="12" ht="15" customHeight="1" spans="1:6" x14ac:dyDescent="0.25">
      <c r="A12" s="5" t="s">
        <v>161</v>
      </c>
      <c r="B12" s="26">
        <f>SUM('Tasks'!$M$5:$M$30)</f>
      </c>
      <c r="C12" s="7" t="s">
        <v>162</v>
      </c>
      <c r="D12" s="7"/>
      <c r="E12" s="7"/>
      <c r="F12" s="7"/>
    </row>
    <row r="13" ht="30" customHeight="1" spans="1:6" x14ac:dyDescent="0.25">
      <c r="A13" s="5" t="s">
        <v>163</v>
      </c>
      <c r="B13" s="26">
        <f>SUM('Tasks'!$N$5:$N$30)</f>
      </c>
      <c r="C13" s="7" t="s">
        <v>164</v>
      </c>
      <c r="D13" s="7"/>
      <c r="E13" s="7"/>
      <c r="F13" s="7"/>
    </row>
    <row r="14" ht="30" customHeight="1" spans="1:6" x14ac:dyDescent="0.25">
      <c r="A14" s="5" t="s">
        <v>165</v>
      </c>
      <c r="B14" s="26">
        <f>SUM('Tasks'!$Q$5:$Q$30)</f>
      </c>
      <c r="C14" s="7" t="s">
        <v>166</v>
      </c>
      <c r="D14" s="7"/>
      <c r="E14" s="7"/>
      <c r="F14" s="7"/>
    </row>
    <row r="15" ht="30" customHeight="1" spans="1:6" x14ac:dyDescent="0.25">
      <c r="A15" s="5" t="s">
        <v>167</v>
      </c>
      <c r="B15" s="26">
        <f>COUNTIF('Team'!$I$5:$I$9,"Over")</f>
      </c>
      <c r="C15" s="7" t="s">
        <v>168</v>
      </c>
      <c r="D15" s="7"/>
      <c r="E15" s="7"/>
      <c r="F15" s="7"/>
    </row>
    <row r="16" spans="1:3" x14ac:dyDescent="0.25">
      <c r="A16" s="2"/>
      <c r="B16" s="2"/>
      <c r="C16" s="2"/>
    </row>
    <row r="17" spans="1:6" x14ac:dyDescent="0.25">
      <c r="A17" s="3" t="s">
        <v>169</v>
      </c>
      <c r="B17" s="3"/>
      <c r="C17" s="3"/>
      <c r="D17" s="3"/>
      <c r="E17" s="3"/>
      <c r="F17" s="3"/>
    </row>
    <row r="18" ht="30" customHeight="1" spans="1:6" x14ac:dyDescent="0.25">
      <c r="A18" s="13" t="s">
        <v>170</v>
      </c>
      <c r="B18" s="13" t="s">
        <v>34</v>
      </c>
      <c r="C18" s="13" t="s">
        <v>40</v>
      </c>
      <c r="D18" s="13" t="s">
        <v>42</v>
      </c>
      <c r="E18" s="13" t="s">
        <v>43</v>
      </c>
      <c r="F18" s="13" t="s">
        <v>44</v>
      </c>
    </row>
    <row r="19" spans="1:6" x14ac:dyDescent="0.25">
      <c r="A19" s="22">
        <f>'Projects'!B5</f>
      </c>
      <c r="B19" s="22">
        <f>'Projects'!C5</f>
      </c>
      <c r="C19" s="28">
        <f>'Projects'!J5</f>
      </c>
      <c r="D19" s="18">
        <f>'Projects'!L5</f>
      </c>
      <c r="E19" s="18">
        <f>'Projects'!M5</f>
      </c>
      <c r="F19" s="29">
        <f>'Projects'!N5</f>
      </c>
    </row>
    <row r="20" spans="1:6" x14ac:dyDescent="0.25">
      <c r="A20" s="22">
        <f>'Projects'!B6</f>
      </c>
      <c r="B20" s="22">
        <f>'Projects'!C6</f>
      </c>
      <c r="C20" s="28">
        <f>'Projects'!J6</f>
      </c>
      <c r="D20" s="18">
        <f>'Projects'!L6</f>
      </c>
      <c r="E20" s="18">
        <f>'Projects'!M6</f>
      </c>
      <c r="F20" s="29">
        <f>'Projects'!N6</f>
      </c>
    </row>
    <row r="21" spans="1:6" x14ac:dyDescent="0.25">
      <c r="A21" s="22">
        <f>'Projects'!B7</f>
      </c>
      <c r="B21" s="22">
        <f>'Projects'!C7</f>
      </c>
      <c r="C21" s="28">
        <f>'Projects'!J7</f>
      </c>
      <c r="D21" s="18">
        <f>'Projects'!L7</f>
      </c>
      <c r="E21" s="18">
        <f>'Projects'!M7</f>
      </c>
      <c r="F21" s="29">
        <f>'Projects'!N7</f>
      </c>
    </row>
    <row r="22" spans="1:6" x14ac:dyDescent="0.25">
      <c r="A22" s="22">
        <f>'Projects'!B8</f>
      </c>
      <c r="B22" s="22">
        <f>'Projects'!C8</f>
      </c>
      <c r="C22" s="28">
        <f>'Projects'!J8</f>
      </c>
      <c r="D22" s="18">
        <f>'Projects'!L8</f>
      </c>
      <c r="E22" s="18">
        <f>'Projects'!M8</f>
      </c>
      <c r="F22" s="29">
        <f>'Projects'!N8</f>
      </c>
    </row>
    <row r="23" spans="1:6" x14ac:dyDescent="0.25">
      <c r="A23" s="22">
        <f>'Projects'!B9</f>
      </c>
      <c r="B23" s="22">
        <f>'Projects'!C9</f>
      </c>
      <c r="C23" s="28">
        <f>'Projects'!J9</f>
      </c>
      <c r="D23" s="18">
        <f>'Projects'!L9</f>
      </c>
      <c r="E23" s="18">
        <f>'Projects'!M9</f>
      </c>
      <c r="F23" s="29">
        <f>'Projects'!N9</f>
      </c>
    </row>
    <row r="24" spans="1:6" x14ac:dyDescent="0.25">
      <c r="A24" s="22">
        <f>'Projects'!B10</f>
      </c>
      <c r="B24" s="22">
        <f>'Projects'!C10</f>
      </c>
      <c r="C24" s="28">
        <f>'Projects'!J10</f>
      </c>
      <c r="D24" s="18">
        <f>'Projects'!L10</f>
      </c>
      <c r="E24" s="18">
        <f>'Projects'!M10</f>
      </c>
      <c r="F24" s="29">
        <f>'Projects'!N10</f>
      </c>
    </row>
    <row r="25" spans="1:3" x14ac:dyDescent="0.25">
      <c r="A25" s="2"/>
      <c r="B25" s="2"/>
      <c r="C25" s="2"/>
    </row>
    <row r="26" spans="1:6" x14ac:dyDescent="0.25">
      <c r="A26" s="3" t="s">
        <v>171</v>
      </c>
      <c r="B26" s="3"/>
      <c r="C26" s="3"/>
      <c r="D26" s="3"/>
      <c r="E26" s="3"/>
      <c r="F26" s="3"/>
    </row>
    <row r="27" ht="30" customHeight="1" spans="1:5" x14ac:dyDescent="0.25">
      <c r="A27" s="13" t="s">
        <v>66</v>
      </c>
      <c r="B27" s="13" t="s">
        <v>170</v>
      </c>
      <c r="C27" s="13" t="s">
        <v>34</v>
      </c>
      <c r="D27" s="13" t="s">
        <v>69</v>
      </c>
      <c r="E27" s="13" t="s">
        <v>172</v>
      </c>
    </row>
    <row r="28" spans="1:5" x14ac:dyDescent="0.25">
      <c r="A28" s="22">
        <f>IF(LARGE('Tasks'!$R$5:$R$30,1)&lt;=0,"-",INDEX('Tasks'!$D$5:$D$30,MATCH(LARGE('Tasks'!$R$5:$R$30,1),'Tasks'!$R$5:$R$30,0)))</f>
      </c>
      <c r="B28" s="22">
        <f>IF(LARGE('Tasks'!$R$5:$R$30,1)&lt;=0,"-",INDEX('Tasks'!$C$5:$C$30,MATCH(LARGE('Tasks'!$R$5:$R$30,1),'Tasks'!$R$5:$R$30,0)))</f>
      </c>
      <c r="C28" s="22">
        <f>IF(LARGE('Tasks'!$R$5:$R$30,1)&lt;=0,"-",INDEX('Tasks'!$E$5:$E$30,MATCH(LARGE('Tasks'!$R$5:$R$30,1),'Tasks'!$R$5:$R$30,0)))</f>
      </c>
      <c r="D28" s="18">
        <f>IF(LARGE('Tasks'!$R$5:$R$30,1)&lt;=0,"-",INDEX('Tasks'!$K$5:$K$30,MATCH(LARGE('Tasks'!$R$5:$R$30,1),'Tasks'!$R$5:$R$30,0)))</f>
      </c>
      <c r="E28" s="18">
        <f>IF(LARGE('Tasks'!$R$5:$R$30,1)&lt;=0,"-",INDEX('Tasks'!$P$5:$P$30,MATCH(LARGE('Tasks'!$R$5:$R$30,1),'Tasks'!$R$5:$R$30,0)))</f>
      </c>
    </row>
    <row r="29" spans="1:5" x14ac:dyDescent="0.25">
      <c r="A29" s="22">
        <f>IF(LARGE('Tasks'!$R$5:$R$30,2)&lt;=0,"-",INDEX('Tasks'!$D$5:$D$30,MATCH(LARGE('Tasks'!$R$5:$R$30,2),'Tasks'!$R$5:$R$30,0)))</f>
      </c>
      <c r="B29" s="22">
        <f>IF(LARGE('Tasks'!$R$5:$R$30,2)&lt;=0,"-",INDEX('Tasks'!$C$5:$C$30,MATCH(LARGE('Tasks'!$R$5:$R$30,2),'Tasks'!$R$5:$R$30,0)))</f>
      </c>
      <c r="C29" s="22">
        <f>IF(LARGE('Tasks'!$R$5:$R$30,2)&lt;=0,"-",INDEX('Tasks'!$E$5:$E$30,MATCH(LARGE('Tasks'!$R$5:$R$30,2),'Tasks'!$R$5:$R$30,0)))</f>
      </c>
      <c r="D29" s="18">
        <f>IF(LARGE('Tasks'!$R$5:$R$30,2)&lt;=0,"-",INDEX('Tasks'!$K$5:$K$30,MATCH(LARGE('Tasks'!$R$5:$R$30,2),'Tasks'!$R$5:$R$30,0)))</f>
      </c>
      <c r="E29" s="18">
        <f>IF(LARGE('Tasks'!$R$5:$R$30,2)&lt;=0,"-",INDEX('Tasks'!$P$5:$P$30,MATCH(LARGE('Tasks'!$R$5:$R$30,2),'Tasks'!$R$5:$R$30,0)))</f>
      </c>
    </row>
    <row r="30" spans="1:5" x14ac:dyDescent="0.25">
      <c r="A30" s="22">
        <f>IF(LARGE('Tasks'!$R$5:$R$30,3)&lt;=0,"-",INDEX('Tasks'!$D$5:$D$30,MATCH(LARGE('Tasks'!$R$5:$R$30,3),'Tasks'!$R$5:$R$30,0)))</f>
      </c>
      <c r="B30" s="22">
        <f>IF(LARGE('Tasks'!$R$5:$R$30,3)&lt;=0,"-",INDEX('Tasks'!$C$5:$C$30,MATCH(LARGE('Tasks'!$R$5:$R$30,3),'Tasks'!$R$5:$R$30,0)))</f>
      </c>
      <c r="C30" s="22">
        <f>IF(LARGE('Tasks'!$R$5:$R$30,3)&lt;=0,"-",INDEX('Tasks'!$E$5:$E$30,MATCH(LARGE('Tasks'!$R$5:$R$30,3),'Tasks'!$R$5:$R$30,0)))</f>
      </c>
      <c r="D30" s="18">
        <f>IF(LARGE('Tasks'!$R$5:$R$30,3)&lt;=0,"-",INDEX('Tasks'!$K$5:$K$30,MATCH(LARGE('Tasks'!$R$5:$R$30,3),'Tasks'!$R$5:$R$30,0)))</f>
      </c>
      <c r="E30" s="18">
        <f>IF(LARGE('Tasks'!$R$5:$R$30,3)&lt;=0,"-",INDEX('Tasks'!$P$5:$P$30,MATCH(LARGE('Tasks'!$R$5:$R$30,3),'Tasks'!$R$5:$R$30,0)))</f>
      </c>
    </row>
    <row r="31" spans="1:5" x14ac:dyDescent="0.25">
      <c r="A31" s="22">
        <f>IF(LARGE('Tasks'!$R$5:$R$30,4)&lt;=0,"-",INDEX('Tasks'!$D$5:$D$30,MATCH(LARGE('Tasks'!$R$5:$R$30,4),'Tasks'!$R$5:$R$30,0)))</f>
      </c>
      <c r="B31" s="22">
        <f>IF(LARGE('Tasks'!$R$5:$R$30,4)&lt;=0,"-",INDEX('Tasks'!$C$5:$C$30,MATCH(LARGE('Tasks'!$R$5:$R$30,4),'Tasks'!$R$5:$R$30,0)))</f>
      </c>
      <c r="C31" s="22">
        <f>IF(LARGE('Tasks'!$R$5:$R$30,4)&lt;=0,"-",INDEX('Tasks'!$E$5:$E$30,MATCH(LARGE('Tasks'!$R$5:$R$30,4),'Tasks'!$R$5:$R$30,0)))</f>
      </c>
      <c r="D31" s="18">
        <f>IF(LARGE('Tasks'!$R$5:$R$30,4)&lt;=0,"-",INDEX('Tasks'!$K$5:$K$30,MATCH(LARGE('Tasks'!$R$5:$R$30,4),'Tasks'!$R$5:$R$30,0)))</f>
      </c>
      <c r="E31" s="18">
        <f>IF(LARGE('Tasks'!$R$5:$R$30,4)&lt;=0,"-",INDEX('Tasks'!$P$5:$P$30,MATCH(LARGE('Tasks'!$R$5:$R$30,4),'Tasks'!$R$5:$R$30,0)))</f>
      </c>
    </row>
    <row r="32" spans="1:5" x14ac:dyDescent="0.25">
      <c r="A32" s="22">
        <f>IF(LARGE('Tasks'!$R$5:$R$30,5)&lt;=0,"-",INDEX('Tasks'!$D$5:$D$30,MATCH(LARGE('Tasks'!$R$5:$R$30,5),'Tasks'!$R$5:$R$30,0)))</f>
      </c>
      <c r="B32" s="22">
        <f>IF(LARGE('Tasks'!$R$5:$R$30,5)&lt;=0,"-",INDEX('Tasks'!$C$5:$C$30,MATCH(LARGE('Tasks'!$R$5:$R$30,5),'Tasks'!$R$5:$R$30,0)))</f>
      </c>
      <c r="C32" s="22">
        <f>IF(LARGE('Tasks'!$R$5:$R$30,5)&lt;=0,"-",INDEX('Tasks'!$E$5:$E$30,MATCH(LARGE('Tasks'!$R$5:$R$30,5),'Tasks'!$R$5:$R$30,0)))</f>
      </c>
      <c r="D32" s="18">
        <f>IF(LARGE('Tasks'!$R$5:$R$30,5)&lt;=0,"-",INDEX('Tasks'!$K$5:$K$30,MATCH(LARGE('Tasks'!$R$5:$R$30,5),'Tasks'!$R$5:$R$30,0)))</f>
      </c>
      <c r="E32" s="18">
        <f>IF(LARGE('Tasks'!$R$5:$R$30,5)&lt;=0,"-",INDEX('Tasks'!$P$5:$P$30,MATCH(LARGE('Tasks'!$R$5:$R$30,5),'Tasks'!$R$5:$R$30,0)))</f>
      </c>
    </row>
    <row r="33" spans="1:3" x14ac:dyDescent="0.25">
      <c r="A33" s="2"/>
      <c r="B33" s="2"/>
      <c r="C33" s="2"/>
    </row>
    <row r="34" ht="30" customHeight="1" spans="1:6" x14ac:dyDescent="0.25">
      <c r="A34" s="30" t="s">
        <v>29</v>
      </c>
      <c r="B34" s="30"/>
      <c r="C34" s="30"/>
      <c r="D34" s="30"/>
      <c r="E34" s="30"/>
      <c r="F34" s="30"/>
    </row>
  </sheetData>
  <mergeCells count="15">
    <mergeCell ref="A1:F1"/>
    <mergeCell ref="A5:F5"/>
    <mergeCell ref="C6:F6"/>
    <mergeCell ref="C7:F7"/>
    <mergeCell ref="C8:F8"/>
    <mergeCell ref="C9:F9"/>
    <mergeCell ref="C10:F10"/>
    <mergeCell ref="C11:F11"/>
    <mergeCell ref="C12:F12"/>
    <mergeCell ref="C13:F13"/>
    <mergeCell ref="C14:F14"/>
    <mergeCell ref="C15:F15"/>
    <mergeCell ref="A17:F17"/>
    <mergeCell ref="A26:F26"/>
    <mergeCell ref="A34:F34"/>
  </mergeCells>
  <conditionalFormatting sqref="F19:F24">
    <cfRule type="cellIs" dxfId="9" priority="1" operator="equal">
      <formula>"Red"</formula>
    </cfRule>
    <cfRule type="cellIs" dxfId="10" priority="2" operator="equal">
      <formula>"Amber"</formula>
    </cfRule>
    <cfRule type="cellIs" dxfId="11" priority="3" operator="equal">
      <formula>"Green"</formula>
    </cfRule>
  </conditionalFormatting>
  <hyperlinks>
    <hyperlink ref="A34"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Projects</vt:lpstr>
      <vt:lpstr>Tasks</vt:lpstr>
      <vt:lpstr>Team</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2026-10-29T17:40:41Z</dcterms:created>
  <dcterms:modified xsi:type="dcterms:W3CDTF">2026-10-29T17:40:41Z</dcterms:modified>
</cp:coreProperties>
</file>