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structions" state="visible" r:id="rId4"/>
    <sheet sheetId="2" name="Vehicles" state="visible" r:id="rId5"/>
    <sheet sheetId="3" name="Service Log" state="visible" r:id="rId6"/>
    <sheet sheetId="4" name="Service Schedule" state="visible" r:id="rId7"/>
    <sheet sheetId="5" name="Fuel Log" state="visible" r:id="rId8"/>
    <sheet sheetId="6" name="Dashboard" state="visible" r:id="rId9"/>
  </sheets>
  <calcPr calcId="171027"/>
</workbook>
</file>

<file path=xl/sharedStrings.xml><?xml version="1.0" encoding="utf-8"?>
<sst xmlns="http://schemas.openxmlformats.org/spreadsheetml/2006/main" count="273" uniqueCount="149">
  <si>
    <t>Vehicle Maintenance Log Template</t>
  </si>
  <si>
    <t>Purpose</t>
  </si>
  <si>
    <t>This workbook helps you keep a service history for every vehicle you run, work out what is due next by odometer or by calendar (whichever comes first), log fuel and see miles per gallon, and review a one-page dashboard as of the date you choose. Replace the synthetic sample vehicles and service rows with your own; the schedule, vehicle totals, and dashboard recalculate automatically.</t>
  </si>
  <si>
    <t>Clean-room disclosure</t>
  </si>
  <si>
    <t>Clean-room disclosure: every formula, layout, instruction, and sample figure in this workbook was authored from scratch for Excel.TV. No vendor workbook, gated template, branding, connector behavior, or sample dataset was downloaded, inspected, mirrored, transformed, or adapted in building this file. All vehicles, VINs, vendors, and figures shown are synthetic and for illustration only.</t>
  </si>
  <si>
    <t>What’s in this workbook</t>
  </si>
  <si>
    <t>Vehicles</t>
  </si>
  <si>
    <t>The register: unit ID, vehicle, type, VIN, in-service date, odometer at the start of the log, and current odometer. Calculated columns total miles tracked, service cost, service count, and cost per mile.</t>
  </si>
  <si>
    <t>Service Log</t>
  </si>
  <si>
    <t>Every service or repair: date, unit ID, odometer, service type, labor hours, labor rate, parts cost, vendor, and notes. Vehicle and Total Cost (hours x rate + parts) are calculated.</t>
  </si>
  <si>
    <t>Service Schedule</t>
  </si>
  <si>
    <t>One row per vehicle and service type with a mileage interval and a day interval. It finds the last service in the log and calculates the next-due odometer and date, then flags Overdue, Due Soon, or OK.</t>
  </si>
  <si>
    <t>Fuel Log</t>
  </si>
  <si>
    <t>Optional fill-ups: date, unit ID, odometer, gallons, and total cost. Price per gallon, miles since the previous fill, and miles per gallon are calculated.</t>
  </si>
  <si>
    <t>Dashboard</t>
  </si>
  <si>
    <t>The one-page output: vehicles tracked, overdue and due-soon services, total service cost, cost per mile, fleet miles per gallon, the three costliest vehicles, and the overdue services to book first.</t>
  </si>
  <si>
    <t>How to use this workbook</t>
  </si>
  <si>
    <t>1. Open Vehicles and replace the sample vehicles with your own. Keep each Unit ID unique because every other sheet uses it as the lookup key. Enter the odometer reading when you start the log and the current odometer.</t>
  </si>
  <si>
    <t>2. Open Service Log and replace the sample rows with your service history. Enter the odometer at the time of service; labor hours times labor rate plus parts cost gives the total.</t>
  </si>
  <si>
    <t>3. Open Service Schedule. Set the As Of Date and the two due-soon windows at the top, then list each vehicle and service type with a mileage interval and a day interval. Use 0 for an interval you do not track, such as 0 miles for an annual inspection.</t>
  </si>
  <si>
    <t>4. Read the Status column: Overdue means a mileage or date limit has passed, Due Soon means one is inside its window, OK means neither, and No Record means the log has no matching service yet.</t>
  </si>
  <si>
    <t>5. Log fill-ups on Fuel Log if you want miles per gallon, then review Dashboard for overdue work and the costliest vehicles.</t>
  </si>
  <si>
    <t>Colour legend</t>
  </si>
  <si>
    <t/>
  </si>
  <si>
    <t>Input — enter or edit your own data here</t>
  </si>
  <si>
    <t>Calculated — formula-driven, please do not overwrite</t>
  </si>
  <si>
    <t>Output — key result for reporting and dashboards</t>
  </si>
  <si>
    <t>Using this workbook in Google Sheets</t>
  </si>
  <si>
    <t>To use this workbook in Google Sheets: open Google Sheets, choose File &gt; Import &gt; Upload, select this .xlsx file, and choose Insert new sheet(s). The workbook uses Google Sheets-compatible formulas only: SUM, SUMIF, SUMIFS, COUNTIF, COUNTIFS, SUMPRODUCT, MAX, IF, IFERROR, AND, OR, N, ISNUMBER, INDEX, MATCH, LARGE, and arithmetic. Dropdown validation for unit IDs and service types carries over during import.</t>
  </si>
  <si>
    <t>Limitations</t>
  </si>
  <si>
    <t>This template is a spreadsheet log, not fleet-management software. It does not read odometers from telematics, send reminders, store receipts or photos, or track drivers. The schedule finds the last service by matching unit ID and service type exactly, so keep service type names identical on Service Log and Service Schedule. Update the Current Odometer on Vehicles whenever you read it; the schedule compares each interval against that number. Lookup ranges reach row 50 on Vehicles, row 60 on Service Schedule, and row 200 on Service Log and Fuel Log; calculated columns need to be copied down for new rows.</t>
  </si>
  <si>
    <t>★ Free template from Excel.TV — get more free Excel &amp; Google Sheets templates →</t>
  </si>
  <si>
    <t>Unit ID</t>
  </si>
  <si>
    <t>Vehicle</t>
  </si>
  <si>
    <t>Vehicle Type</t>
  </si>
  <si>
    <t>VIN</t>
  </si>
  <si>
    <t>In-Service Date</t>
  </si>
  <si>
    <t>Odometer at Start of Log</t>
  </si>
  <si>
    <t>Current Odometer</t>
  </si>
  <si>
    <t>Miles Tracked</t>
  </si>
  <si>
    <t>Service Cost</t>
  </si>
  <si>
    <t>Service Count</t>
  </si>
  <si>
    <t>Cost per Mile</t>
  </si>
  <si>
    <t>Notes</t>
  </si>
  <si>
    <t>V-101</t>
  </si>
  <si>
    <t>2022 Ford F-150 XLT</t>
  </si>
  <si>
    <t>Pickup</t>
  </si>
  <si>
    <t>1FTFW1E50NFA00101</t>
  </si>
  <si>
    <t>Crew lead truck; carries tools and a ladder rack.</t>
  </si>
  <si>
    <t>V-102</t>
  </si>
  <si>
    <t>2021 Chevrolet Silverado 2500HD</t>
  </si>
  <si>
    <t>1GC4YNEY5MF000102</t>
  </si>
  <si>
    <t>Hauls the equipment trailer; heavy-duty service interval.</t>
  </si>
  <si>
    <t>V-103</t>
  </si>
  <si>
    <t>2023 Ford Transit 250</t>
  </si>
  <si>
    <t>Cargo Van</t>
  </si>
  <si>
    <t>1FTBR1C80PKA00103</t>
  </si>
  <si>
    <t>Parts and install van for the east route.</t>
  </si>
  <si>
    <t>V-104</t>
  </si>
  <si>
    <t>2020 Ram ProMaster 2500</t>
  </si>
  <si>
    <t>3C6TRVDG5LE000104</t>
  </si>
  <si>
    <t>Highest-mileage van in the sample fleet.</t>
  </si>
  <si>
    <t>V-105</t>
  </si>
  <si>
    <t>2022 Toyota Tacoma</t>
  </si>
  <si>
    <t>3TMCZ5AN2NM000105</t>
  </si>
  <si>
    <t>Sales and site-visit truck.</t>
  </si>
  <si>
    <t>V-106</t>
  </si>
  <si>
    <t>2019 Freightliner M2 106</t>
  </si>
  <si>
    <t>Box Truck</t>
  </si>
  <si>
    <t>3ALACWFC5KDKA0106</t>
  </si>
  <si>
    <t>Class 6 box truck; annual DOT inspection applies.</t>
  </si>
  <si>
    <t>Enter every service and repair here, in any order. Vehicle and Total Cost are calculated; use the blue cells for the details. Total Cost = Labor Hours x Labor Rate + Parts Cost.</t>
  </si>
  <si>
    <t>Service Date</t>
  </si>
  <si>
    <t>Odometer</t>
  </si>
  <si>
    <t>Service Type</t>
  </si>
  <si>
    <t>Labor Hours</t>
  </si>
  <si>
    <t>Labor Rate</t>
  </si>
  <si>
    <t>Parts Cost</t>
  </si>
  <si>
    <t>Total Cost</t>
  </si>
  <si>
    <t>Vendor</t>
  </si>
  <si>
    <t>Annual DOT Inspection</t>
  </si>
  <si>
    <t>Ridgeline Truck Service</t>
  </si>
  <si>
    <t>Annual inspection passed; replaced one marker lamp.</t>
  </si>
  <si>
    <t>Brake Inspection</t>
  </si>
  <si>
    <t>Metro Fleet Garage</t>
  </si>
  <si>
    <t>Measured pad thickness; no replacement needed.</t>
  </si>
  <si>
    <t>Oil Change</t>
  </si>
  <si>
    <t>Diesel-rated oil and filters.</t>
  </si>
  <si>
    <t>Full synthetic and filter.</t>
  </si>
  <si>
    <t>Transmission Service</t>
  </si>
  <si>
    <t>Lakeside Chevrolet Service</t>
  </si>
  <si>
    <t>Fluid and filter service; dealer rate.</t>
  </si>
  <si>
    <t>Front pads at about half life.</t>
  </si>
  <si>
    <t>In-house shop</t>
  </si>
  <si>
    <t>Changed in our own bay.</t>
  </si>
  <si>
    <t>Repair</t>
  </si>
  <si>
    <t>Replaced a rear air-brake chamber.</t>
  </si>
  <si>
    <t>Tire Rotation</t>
  </si>
  <si>
    <t>Rotated and set pressures.</t>
  </si>
  <si>
    <t>Oil and filter plus a fluid-level check.</t>
  </si>
  <si>
    <t>Replaced the alternator.</t>
  </si>
  <si>
    <t>Replaced the sliding-door latch.</t>
  </si>
  <si>
    <t>Each row is one service on one vehicle. The sheet looks up the last matching service in the Service Log, then adds your mileage interval and day interval to find the next due odometer and date. Whichever limit arrives first sets the status. Use 0 for an interval you do not track.</t>
  </si>
  <si>
    <t>As Of Date:</t>
  </si>
  <si>
    <t>Due-soon window (miles):</t>
  </si>
  <si>
    <t>Due-soon window (days):</t>
  </si>
  <si>
    <t>Interval Miles</t>
  </si>
  <si>
    <t>Interval Days</t>
  </si>
  <si>
    <t>Last Service Date</t>
  </si>
  <si>
    <t>Last Service Odometer</t>
  </si>
  <si>
    <t>Next Due Odometer</t>
  </si>
  <si>
    <t>Miles Remaining</t>
  </si>
  <si>
    <t>Next Due Date</t>
  </si>
  <si>
    <t>Days Remaining</t>
  </si>
  <si>
    <t>Status</t>
  </si>
  <si>
    <t>Overdue Flag</t>
  </si>
  <si>
    <t>Due Soon Flag</t>
  </si>
  <si>
    <t>Overdue Rank</t>
  </si>
  <si>
    <t>Optional. Log each fill-up with the odometer reading. Miles per gallon assumes you fill the tank each time: miles since the previous fill of the same unit divided by the gallons added.</t>
  </si>
  <si>
    <t>Fill Date</t>
  </si>
  <si>
    <t>Gallons</t>
  </si>
  <si>
    <t>Price per Gallon</t>
  </si>
  <si>
    <t>Previous Fill Odometer</t>
  </si>
  <si>
    <t>Miles Since Last Fill</t>
  </si>
  <si>
    <t>Miles per Gallon</t>
  </si>
  <si>
    <t>As of date:</t>
  </si>
  <si>
    <t>Fleet maintenance summary</t>
  </si>
  <si>
    <t>Metric</t>
  </si>
  <si>
    <t>Result</t>
  </si>
  <si>
    <t>How it is calculated</t>
  </si>
  <si>
    <t>Vehicles tracked</t>
  </si>
  <si>
    <t>Count of Unit IDs on Vehicles.</t>
  </si>
  <si>
    <t>Overdue services</t>
  </si>
  <si>
    <t>Service Schedule rows past their mileage or date limit.</t>
  </si>
  <si>
    <t>Due soon services</t>
  </si>
  <si>
    <t>Rows inside a due-soon window and not already overdue.</t>
  </si>
  <si>
    <t>Total service cost</t>
  </si>
  <si>
    <t>Labor plus parts across the whole Service Log.</t>
  </si>
  <si>
    <t>Miles tracked</t>
  </si>
  <si>
    <t>Current odometer minus odometer at start of log, all vehicles.</t>
  </si>
  <si>
    <t>Service cost per mile</t>
  </si>
  <si>
    <t>Total service cost divided by miles tracked.</t>
  </si>
  <si>
    <t>Fleet miles per gallon</t>
  </si>
  <si>
    <t>Miles driven between fills divided by gallons for those fills.</t>
  </si>
  <si>
    <t>Fuel spend</t>
  </si>
  <si>
    <t>Total cost of fill-ups on Fuel Log.</t>
  </si>
  <si>
    <t>Top 3 vehicles by service cost</t>
  </si>
  <si>
    <t>Rank</t>
  </si>
  <si>
    <t>Overdue services to book first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</si>
</sst>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yyyy-mm-dd"/>
    <numFmt numFmtId="165" formatCode="$#,##0"/>
    <numFmt numFmtId="166" formatCode="$0.000"/>
    <numFmt numFmtId="167" formatCode="0.0"/>
    <numFmt numFmtId="168" formatCode="$#,##0.00"/>
    <numFmt numFmtId="169" formatCode="#,##0;-#,##0"/>
  </numFmts>
  <fonts count="8" x14ac:knownFonts="1">
    <font>
      <color theme="1"/>
      <family val="2"/>
      <scheme val="minor"/>
      <sz val="11"/>
      <name val="Calibri"/>
    </font>
    <font>
      <b/>
      <sz val="16"/>
    </font>
    <font>
      <b/>
      <sz val="12"/>
    </font>
    <font>
      <i/>
    </font>
    <font>
      <b/>
    </font>
    <font>
      <b/>
      <u/>
      <color rgb="FF1155CC"/>
      <sz val="13"/>
    </font>
    <font>
      <b/>
      <color rgb="FFFFFFFF"/>
    </font>
    <font>
      <b/>
      <u/>
      <color rgb="FF1155CC"/>
      <sz val="12"/>
    </font>
  </fonts>
  <fills count="6">
    <fill>
      <patternFill patternType="none"/>
    </fill>
    <fill>
      <patternFill patternType="gray125"/>
    </fill>
    <fill>
      <patternFill patternType="solid">
        <fgColor rgb="FFDCE6F1"/>
      </patternFill>
    </fill>
    <fill>
      <patternFill patternType="solid">
        <fgColor rgb="FFFFF2CC"/>
      </patternFill>
    </fill>
    <fill>
      <patternFill patternType="solid">
        <fgColor rgb="FFD9EAD3"/>
      </patternFill>
    </fill>
    <fill>
      <patternFill patternType="solid">
        <fgColor rgb="FF44546A"/>
      </patternFill>
    </fill>
  </fills>
  <borders count="2">
    <border>
      <left/>
      <right/>
      <top/>
      <bottom/>
      <diagonal/>
    </border>
    <border>
      <left style="thin">
        <color rgb="FFB7B7B7"/>
      </left>
      <right style="thin">
        <color rgb="FFB7B7B7"/>
      </right>
      <top style="thin">
        <color rgb="FFB7B7B7"/>
      </top>
      <bottom style="thin">
        <color rgb="FFB7B7B7"/>
      </bottom>
      <diagonal/>
    </border>
  </borders>
  <cellStyleXfs count="1">
    <xf numFmtId="0" fontId="0" fillId="0" borderId="0"/>
  </cellStyleXfs>
  <cellXfs count="42">
    <xf numFmtId="0" fontId="0" fillId="0" borderId="0" xfId="0"/>
    <xf numFmtId="0" fontId="1" fillId="0" borderId="0" xfId="0" applyFont="1" applyAlignment="1">
      <alignment vertical="top" wrapText="1"/>
    </xf>
    <xf numFmtId="0" fontId="0" fillId="0" borderId="0" xfId="0" applyAlignment="1">
      <alignment vertical="top" wrapText="1"/>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0" fillId="2" borderId="1" xfId="0" applyFill="1" applyBorder="1" applyAlignment="1">
      <alignment vertical="top" wrapText="1"/>
    </xf>
    <xf numFmtId="0" fontId="0" fillId="0" borderId="0" xfId="0" applyAlignment="1">
      <alignment vertical="center" wrapText="1"/>
    </xf>
    <xf numFmtId="0" fontId="0" fillId="3" borderId="1" xfId="0" applyFill="1" applyBorder="1" applyAlignment="1">
      <alignment vertical="top" wrapText="1"/>
    </xf>
    <xf numFmtId="0" fontId="0" fillId="4" borderId="1" xfId="0" applyFill="1" applyBorder="1" applyAlignment="1">
      <alignment vertical="top" wrapText="1"/>
    </xf>
    <xf numFmtId="0" fontId="5" fillId="4" borderId="0" xfId="0" applyFont="1" applyFill="1" applyAlignment="1">
      <alignment horizontal="center" vertical="center" wrapText="1"/>
    </xf>
    <xf numFmtId="0" fontId="6" fillId="5" borderId="1" xfId="0" applyFont="1" applyFill="1" applyBorder="1" applyAlignment="1">
      <alignment horizontal="center" vertical="center" wrapText="1"/>
    </xf>
    <xf numFmtId="0" fontId="0" fillId="2" borderId="1" xfId="0" applyFill="1" applyBorder="1" applyAlignment="1">
      <alignment horizontal="center" vertical="center"/>
    </xf>
    <xf numFmtId="0" fontId="0" fillId="2" borderId="1" xfId="0" applyFill="1" applyBorder="1" applyAlignment="1">
      <alignment horizontal="left" vertical="center" wrapText="1"/>
    </xf>
    <xf numFmtId="0" fontId="0" fillId="2" borderId="1" xfId="0" applyFill="1" applyBorder="1" applyAlignment="1">
      <alignment horizontal="left" vertical="center"/>
    </xf>
    <xf numFmtId="164" fontId="0" fillId="2" borderId="1" xfId="0" applyNumberFormat="1" applyFill="1" applyBorder="1" applyAlignment="1">
      <alignment horizontal="center" vertical="center"/>
    </xf>
    <xf numFmtId="3" fontId="0" fillId="2" borderId="1" xfId="0" applyNumberFormat="1" applyFill="1" applyBorder="1" applyAlignment="1">
      <alignment horizontal="center" vertical="center"/>
    </xf>
    <xf numFmtId="3" fontId="0" fillId="3" borderId="1" xfId="0" applyNumberFormat="1" applyFill="1" applyBorder="1" applyAlignment="1">
      <alignment horizontal="center" vertical="center"/>
    </xf>
    <xf numFmtId="165" fontId="0" fillId="3" borderId="1" xfId="0" applyNumberFormat="1" applyFill="1" applyBorder="1" applyAlignment="1">
      <alignment horizontal="center" vertical="center"/>
    </xf>
    <xf numFmtId="166" fontId="0" fillId="3" borderId="1" xfId="0" applyNumberFormat="1" applyFill="1" applyBorder="1" applyAlignment="1">
      <alignment horizontal="center" vertical="center"/>
    </xf>
    <xf numFmtId="0" fontId="0" fillId="3" borderId="1" xfId="0" applyFill="1" applyBorder="1" applyAlignment="1">
      <alignment horizontal="left" vertical="center" wrapText="1"/>
    </xf>
    <xf numFmtId="167" fontId="0" fillId="2" borderId="1" xfId="0" applyNumberFormat="1" applyFill="1" applyBorder="1" applyAlignment="1">
      <alignment horizontal="center" vertical="center"/>
    </xf>
    <xf numFmtId="168" fontId="0" fillId="2" borderId="1" xfId="0" applyNumberFormat="1" applyFill="1" applyBorder="1" applyAlignment="1">
      <alignment horizontal="center" vertical="center"/>
    </xf>
    <xf numFmtId="168" fontId="0" fillId="3" borderId="1" xfId="0" applyNumberFormat="1" applyFill="1" applyBorder="1" applyAlignment="1">
      <alignment horizontal="center" vertical="center"/>
    </xf>
    <xf numFmtId="164" fontId="4" fillId="2" borderId="1" xfId="0" applyNumberFormat="1" applyFont="1" applyFill="1" applyBorder="1" applyAlignment="1">
      <alignment horizontal="center" vertical="center" wrapText="1"/>
    </xf>
    <xf numFmtId="3" fontId="4" fillId="2" borderId="1" xfId="0" applyNumberFormat="1" applyFont="1" applyFill="1" applyBorder="1" applyAlignment="1">
      <alignment horizontal="center" vertical="center" wrapText="1"/>
    </xf>
    <xf numFmtId="164" fontId="0" fillId="3" borderId="1" xfId="0" applyNumberFormat="1" applyFill="1" applyBorder="1" applyAlignment="1">
      <alignment horizontal="center" vertical="center"/>
    </xf>
    <xf numFmtId="169" fontId="0" fillId="3" borderId="1" xfId="0" applyNumberFormat="1" applyFill="1" applyBorder="1" applyAlignment="1">
      <alignment horizontal="center" vertical="center"/>
    </xf>
    <xf numFmtId="0" fontId="4" fillId="3" borderId="1" xfId="0" applyFont="1" applyFill="1" applyBorder="1" applyAlignment="1">
      <alignment horizontal="center" vertical="center"/>
    </xf>
    <xf numFmtId="167" fontId="0" fillId="3" borderId="1" xfId="0" applyNumberFormat="1" applyFill="1" applyBorder="1" applyAlignment="1">
      <alignment horizontal="center" vertical="center"/>
    </xf>
    <xf numFmtId="164" fontId="4" fillId="3" borderId="1" xfId="0" applyNumberFormat="1" applyFont="1" applyFill="1" applyBorder="1" applyAlignment="1">
      <alignment horizontal="center" vertical="center" wrapText="1"/>
    </xf>
    <xf numFmtId="3" fontId="4" fillId="4" borderId="1" xfId="0" applyNumberFormat="1" applyFont="1" applyFill="1" applyBorder="1" applyAlignment="1">
      <alignment horizontal="center" vertical="center" wrapText="1"/>
    </xf>
    <xf numFmtId="165" fontId="4" fillId="4" borderId="1" xfId="0" applyNumberFormat="1" applyFont="1" applyFill="1" applyBorder="1" applyAlignment="1">
      <alignment horizontal="center" vertical="center" wrapText="1"/>
    </xf>
    <xf numFmtId="166" fontId="4" fillId="4" borderId="1" xfId="0" applyNumberFormat="1" applyFont="1" applyFill="1" applyBorder="1" applyAlignment="1">
      <alignment horizontal="center" vertical="center" wrapText="1"/>
    </xf>
    <xf numFmtId="167" fontId="4" fillId="4" borderId="1" xfId="0" applyNumberFormat="1" applyFont="1" applyFill="1" applyBorder="1" applyAlignment="1">
      <alignment horizontal="center" vertical="center" wrapText="1"/>
    </xf>
    <xf numFmtId="0" fontId="0" fillId="0" borderId="0" xfId="0" applyAlignment="1">
      <alignment horizontal="center" vertical="top" wrapText="1"/>
    </xf>
    <xf numFmtId="0" fontId="0" fillId="4" borderId="1" xfId="0" applyFill="1" applyBorder="1" applyAlignment="1">
      <alignment horizontal="center" vertical="center" wrapText="1"/>
    </xf>
    <xf numFmtId="0" fontId="0" fillId="4" borderId="1" xfId="0" applyFill="1" applyBorder="1" applyAlignment="1">
      <alignment vertical="center" wrapText="1"/>
    </xf>
    <xf numFmtId="165" fontId="0" fillId="4" borderId="1" xfId="0" applyNumberFormat="1" applyFill="1" applyBorder="1" applyAlignment="1">
      <alignment horizontal="center" vertical="center"/>
    </xf>
    <xf numFmtId="166" fontId="0" fillId="4" borderId="1" xfId="0" applyNumberFormat="1" applyFill="1" applyBorder="1" applyAlignment="1">
      <alignment horizontal="center" vertical="center"/>
    </xf>
    <xf numFmtId="0" fontId="0" fillId="3" borderId="1" xfId="0" applyFill="1" applyBorder="1" applyAlignment="1">
      <alignment horizontal="center" vertical="center" wrapText="1"/>
    </xf>
    <xf numFmtId="0" fontId="7" fillId="4" borderId="0" xfId="0" applyFont="1" applyFill="1" applyAlignment="1">
      <alignment horizontal="center" vertical="center" wrapText="1"/>
    </xf>
  </cellXfs>
  <cellStyles count="1">
    <cellStyle name="Normal" xfId="0" builtinId="0"/>
  </cellStyles>
  <dxfs count="3">
    <dxf>
      <font>
        <b/>
        <color rgb="FF9C0006"/>
      </font>
      <fill>
        <patternFill patternType="solid">
          <bgColor rgb="FFF4C7C3"/>
        </patternFill>
      </fill>
    </dxf>
    <dxf>
      <font>
        <b/>
        <color rgb="FF7F6000"/>
      </font>
      <fill>
        <patternFill patternType="solid">
          <bgColor rgb="FFFFE599"/>
        </patternFill>
      </fill>
    </dxf>
    <dxf>
      <font>
        <b/>
        <color rgb="FF274E13"/>
      </font>
      <fill>
        <patternFill patternType="solid">
          <bgColor rgb="FFD9EAD3"/>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excel.tv/excel-templates/?utm_source=workbook&amp;utm_medium=in-file-cta&amp;utm_campaign=vehicle-maintenance-log-template"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excel.tv/excel-templates/?utm_source=workbook&amp;utm_medium=in-file-cta&amp;utm_campaign=vehicle-maintenance-log-templat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6"/>
  <sheetViews>
    <sheetView workbookViewId="0" showGridLines="0"/>
  </sheetViews>
  <sheetFormatPr defaultRowHeight="15" outlineLevelRow="0" outlineLevelCol="0" x14ac:dyDescent="55"/>
  <cols>
    <col min="1" max="6" width="22" customWidth="1"/>
  </cols>
  <sheetData>
    <row r="1" spans="1:6" x14ac:dyDescent="0.25">
      <c r="A1" s="1" t="s">
        <v>0</v>
      </c>
      <c r="B1" s="1"/>
      <c r="C1" s="1"/>
      <c r="D1" s="1"/>
      <c r="E1" s="1"/>
      <c r="F1" s="1"/>
    </row>
    <row r="2" spans="1:6" x14ac:dyDescent="0.25">
      <c r="A2" s="2"/>
      <c r="B2" s="2"/>
      <c r="C2" s="2"/>
      <c r="D2" s="2"/>
      <c r="E2" s="2"/>
      <c r="F2" s="2"/>
    </row>
    <row r="3" spans="1:6" x14ac:dyDescent="0.25">
      <c r="A3" s="3" t="s">
        <v>1</v>
      </c>
      <c r="B3" s="3"/>
      <c r="C3" s="3"/>
      <c r="D3" s="3"/>
      <c r="E3" s="3"/>
      <c r="F3" s="3"/>
    </row>
    <row r="4" ht="45" customHeight="1" spans="1:6" x14ac:dyDescent="0.25">
      <c r="A4" s="2" t="s">
        <v>2</v>
      </c>
      <c r="B4" s="2"/>
      <c r="C4" s="2"/>
      <c r="D4" s="2"/>
      <c r="E4" s="2"/>
      <c r="F4" s="2"/>
    </row>
    <row r="5" spans="1:6" x14ac:dyDescent="0.25">
      <c r="A5" s="2"/>
      <c r="B5" s="2"/>
      <c r="C5" s="2"/>
      <c r="D5" s="2"/>
      <c r="E5" s="2"/>
      <c r="F5" s="2"/>
    </row>
    <row r="6" spans="1:6" x14ac:dyDescent="0.25">
      <c r="A6" s="3" t="s">
        <v>3</v>
      </c>
      <c r="B6" s="3"/>
      <c r="C6" s="3"/>
      <c r="D6" s="3"/>
      <c r="E6" s="3"/>
      <c r="F6" s="3"/>
    </row>
    <row r="7" ht="45" customHeight="1" spans="1:6" x14ac:dyDescent="0.25">
      <c r="A7" s="4" t="s">
        <v>4</v>
      </c>
      <c r="B7" s="4"/>
      <c r="C7" s="4"/>
      <c r="D7" s="4"/>
      <c r="E7" s="4"/>
      <c r="F7" s="4"/>
    </row>
    <row r="8" spans="1:6" x14ac:dyDescent="0.25">
      <c r="A8" s="2"/>
      <c r="B8" s="2"/>
      <c r="C8" s="2"/>
      <c r="D8" s="2"/>
      <c r="E8" s="2"/>
      <c r="F8" s="2"/>
    </row>
    <row r="9" spans="1:6" x14ac:dyDescent="0.25">
      <c r="A9" s="3" t="s">
        <v>5</v>
      </c>
      <c r="B9" s="3"/>
      <c r="C9" s="3"/>
      <c r="D9" s="3"/>
      <c r="E9" s="3"/>
      <c r="F9" s="3"/>
    </row>
    <row r="10" ht="45" customHeight="1" spans="1:6" x14ac:dyDescent="0.25">
      <c r="A10" s="5" t="s">
        <v>6</v>
      </c>
      <c r="B10" s="5"/>
      <c r="C10" s="2" t="s">
        <v>7</v>
      </c>
      <c r="D10" s="2"/>
      <c r="E10" s="2"/>
      <c r="F10" s="2"/>
    </row>
    <row r="11" ht="30" customHeight="1" spans="1:6" x14ac:dyDescent="0.25">
      <c r="A11" s="5" t="s">
        <v>8</v>
      </c>
      <c r="B11" s="5"/>
      <c r="C11" s="2" t="s">
        <v>9</v>
      </c>
      <c r="D11" s="2"/>
      <c r="E11" s="2"/>
      <c r="F11" s="2"/>
    </row>
    <row r="12" ht="45" customHeight="1" spans="1:6" x14ac:dyDescent="0.25">
      <c r="A12" s="5" t="s">
        <v>10</v>
      </c>
      <c r="B12" s="5"/>
      <c r="C12" s="2" t="s">
        <v>11</v>
      </c>
      <c r="D12" s="2"/>
      <c r="E12" s="2"/>
      <c r="F12" s="2"/>
    </row>
    <row r="13" ht="30" customHeight="1" spans="1:6" x14ac:dyDescent="0.25">
      <c r="A13" s="5" t="s">
        <v>12</v>
      </c>
      <c r="B13" s="5"/>
      <c r="C13" s="2" t="s">
        <v>13</v>
      </c>
      <c r="D13" s="2"/>
      <c r="E13" s="2"/>
      <c r="F13" s="2"/>
    </row>
    <row r="14" ht="30" customHeight="1" spans="1:6" x14ac:dyDescent="0.25">
      <c r="A14" s="5" t="s">
        <v>14</v>
      </c>
      <c r="B14" s="5"/>
      <c r="C14" s="2" t="s">
        <v>15</v>
      </c>
      <c r="D14" s="2"/>
      <c r="E14" s="2"/>
      <c r="F14" s="2"/>
    </row>
    <row r="15" spans="1:6" x14ac:dyDescent="0.25">
      <c r="A15" s="2"/>
      <c r="B15" s="2"/>
      <c r="C15" s="2"/>
      <c r="D15" s="2"/>
      <c r="E15" s="2"/>
      <c r="F15" s="2"/>
    </row>
    <row r="16" spans="1:6" x14ac:dyDescent="0.25">
      <c r="A16" s="3" t="s">
        <v>16</v>
      </c>
      <c r="B16" s="3"/>
      <c r="C16" s="3"/>
      <c r="D16" s="3"/>
      <c r="E16" s="3"/>
      <c r="F16" s="3"/>
    </row>
    <row r="17" ht="30" customHeight="1" spans="1:6" x14ac:dyDescent="0.25">
      <c r="A17" s="2" t="s">
        <v>17</v>
      </c>
      <c r="B17" s="2"/>
      <c r="C17" s="2"/>
      <c r="D17" s="2"/>
      <c r="E17" s="2"/>
      <c r="F17" s="2"/>
    </row>
    <row r="18" ht="30" customHeight="1" spans="1:6" x14ac:dyDescent="0.25">
      <c r="A18" s="2" t="s">
        <v>18</v>
      </c>
      <c r="B18" s="2"/>
      <c r="C18" s="2"/>
      <c r="D18" s="2"/>
      <c r="E18" s="2"/>
      <c r="F18" s="2"/>
    </row>
    <row r="19" ht="30" customHeight="1" spans="1:6" x14ac:dyDescent="0.25">
      <c r="A19" s="2" t="s">
        <v>19</v>
      </c>
      <c r="B19" s="2"/>
      <c r="C19" s="2"/>
      <c r="D19" s="2"/>
      <c r="E19" s="2"/>
      <c r="F19" s="2"/>
    </row>
    <row r="20" ht="30" customHeight="1" spans="1:6" x14ac:dyDescent="0.25">
      <c r="A20" s="2" t="s">
        <v>20</v>
      </c>
      <c r="B20" s="2"/>
      <c r="C20" s="2"/>
      <c r="D20" s="2"/>
      <c r="E20" s="2"/>
      <c r="F20" s="2"/>
    </row>
    <row r="21" ht="30" customHeight="1" spans="1:6" x14ac:dyDescent="0.25">
      <c r="A21" s="2" t="s">
        <v>21</v>
      </c>
      <c r="B21" s="2"/>
      <c r="C21" s="2"/>
      <c r="D21" s="2"/>
      <c r="E21" s="2"/>
      <c r="F21" s="2"/>
    </row>
    <row r="22" spans="1:6" x14ac:dyDescent="0.25">
      <c r="A22" s="2"/>
      <c r="B22" s="2"/>
      <c r="C22" s="2"/>
      <c r="D22" s="2"/>
      <c r="E22" s="2"/>
      <c r="F22" s="2"/>
    </row>
    <row r="23" spans="1:6" x14ac:dyDescent="0.25">
      <c r="A23" s="3" t="s">
        <v>22</v>
      </c>
      <c r="B23" s="3"/>
      <c r="C23" s="3"/>
      <c r="D23" s="3"/>
      <c r="E23" s="3"/>
      <c r="F23" s="3"/>
    </row>
    <row r="24" spans="1:6" x14ac:dyDescent="0.25">
      <c r="A24" s="5" t="s">
        <v>22</v>
      </c>
      <c r="B24" s="2"/>
      <c r="C24" s="2"/>
      <c r="D24" s="2"/>
      <c r="E24" s="2"/>
      <c r="F24" s="2"/>
    </row>
    <row r="25" spans="1:6" x14ac:dyDescent="0.25">
      <c r="A25" s="6" t="s">
        <v>23</v>
      </c>
      <c r="B25" s="7" t="s">
        <v>24</v>
      </c>
      <c r="C25" s="2"/>
      <c r="D25" s="2"/>
      <c r="E25" s="2"/>
      <c r="F25" s="2"/>
    </row>
    <row r="26" spans="1:6" x14ac:dyDescent="0.25">
      <c r="A26" s="8" t="s">
        <v>23</v>
      </c>
      <c r="B26" s="7" t="s">
        <v>25</v>
      </c>
      <c r="C26" s="2"/>
      <c r="D26" s="2"/>
      <c r="E26" s="2"/>
      <c r="F26" s="2"/>
    </row>
    <row r="27" spans="1:6" x14ac:dyDescent="0.25">
      <c r="A27" s="9" t="s">
        <v>23</v>
      </c>
      <c r="B27" s="7" t="s">
        <v>26</v>
      </c>
      <c r="C27" s="2"/>
      <c r="D27" s="2"/>
      <c r="E27" s="2"/>
      <c r="F27" s="2"/>
    </row>
    <row r="28" spans="1:6" x14ac:dyDescent="0.25">
      <c r="A28" s="2"/>
      <c r="B28" s="2"/>
      <c r="C28" s="2"/>
      <c r="D28" s="2"/>
      <c r="E28" s="2"/>
      <c r="F28" s="2"/>
    </row>
    <row r="29" spans="1:6" x14ac:dyDescent="0.25">
      <c r="A29" s="3" t="s">
        <v>27</v>
      </c>
      <c r="B29" s="3"/>
      <c r="C29" s="3"/>
      <c r="D29" s="3"/>
      <c r="E29" s="3"/>
      <c r="F29" s="3"/>
    </row>
    <row r="30" ht="60" customHeight="1" spans="1:6" x14ac:dyDescent="0.25">
      <c r="A30" s="2" t="s">
        <v>28</v>
      </c>
      <c r="B30" s="2"/>
      <c r="C30" s="2"/>
      <c r="D30" s="2"/>
      <c r="E30" s="2"/>
      <c r="F30" s="2"/>
    </row>
    <row r="31" spans="1:6" x14ac:dyDescent="0.25">
      <c r="A31" s="2"/>
      <c r="B31" s="2"/>
      <c r="C31" s="2"/>
      <c r="D31" s="2"/>
      <c r="E31" s="2"/>
      <c r="F31" s="2"/>
    </row>
    <row r="32" spans="1:6" x14ac:dyDescent="0.25">
      <c r="A32" s="3" t="s">
        <v>29</v>
      </c>
      <c r="B32" s="3"/>
      <c r="C32" s="3"/>
      <c r="D32" s="3"/>
      <c r="E32" s="3"/>
      <c r="F32" s="3"/>
    </row>
    <row r="33" ht="75" customHeight="1" spans="1:6" x14ac:dyDescent="0.25">
      <c r="A33" s="2" t="s">
        <v>30</v>
      </c>
      <c r="B33" s="2"/>
      <c r="C33" s="2"/>
      <c r="D33" s="2"/>
      <c r="E33" s="2"/>
      <c r="F33" s="2"/>
    </row>
    <row r="34" spans="1:6" x14ac:dyDescent="0.25">
      <c r="A34" s="2"/>
      <c r="B34" s="2"/>
      <c r="C34" s="2"/>
      <c r="D34" s="2"/>
      <c r="E34" s="2"/>
      <c r="F34" s="2"/>
    </row>
    <row r="35" spans="1:6" x14ac:dyDescent="0.25">
      <c r="A35" s="2"/>
      <c r="B35" s="2"/>
      <c r="C35" s="2"/>
      <c r="D35" s="2"/>
      <c r="E35" s="2"/>
      <c r="F35" s="2"/>
    </row>
    <row r="36" ht="32" customHeight="1" spans="1:6" x14ac:dyDescent="0.25">
      <c r="A36" s="10" t="s">
        <v>31</v>
      </c>
      <c r="B36" s="10"/>
      <c r="C36" s="10"/>
      <c r="D36" s="10"/>
      <c r="E36" s="10"/>
      <c r="F36" s="10"/>
    </row>
  </sheetData>
  <mergeCells count="28">
    <mergeCell ref="A1:F1"/>
    <mergeCell ref="A3:F3"/>
    <mergeCell ref="A4:F4"/>
    <mergeCell ref="A6:F6"/>
    <mergeCell ref="A7:F7"/>
    <mergeCell ref="A9:F9"/>
    <mergeCell ref="A10:B10"/>
    <mergeCell ref="C10:F10"/>
    <mergeCell ref="A11:B11"/>
    <mergeCell ref="C11:F11"/>
    <mergeCell ref="A12:B12"/>
    <mergeCell ref="C12:F12"/>
    <mergeCell ref="A13:B13"/>
    <mergeCell ref="C13:F13"/>
    <mergeCell ref="A14:B14"/>
    <mergeCell ref="C14:F14"/>
    <mergeCell ref="A16:F16"/>
    <mergeCell ref="A17:F17"/>
    <mergeCell ref="A18:F18"/>
    <mergeCell ref="A19:F19"/>
    <mergeCell ref="A20:F20"/>
    <mergeCell ref="A21:F21"/>
    <mergeCell ref="A23:F23"/>
    <mergeCell ref="A29:F29"/>
    <mergeCell ref="A30:F30"/>
    <mergeCell ref="A32:F32"/>
    <mergeCell ref="A33:F33"/>
    <mergeCell ref="A36:F36"/>
  </mergeCells>
  <hyperlinks>
    <hyperlink ref="A36" r:id="rId1"/>
  </hyperlinks>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pane ySplit="1" topLeftCell="A2" activePane="bottomLeft" state="frozen"/>
      <selection pane="bottomLeft"/>
    </sheetView>
  </sheetViews>
  <sheetFormatPr defaultRowHeight="15" outlineLevelRow="0" outlineLevelCol="0" x14ac:dyDescent="55"/>
  <cols>
    <col min="1" max="1" width="10" customWidth="1"/>
    <col min="2" max="2" width="30" customWidth="1"/>
    <col min="3" max="3" width="13" customWidth="1"/>
    <col min="4" max="4" width="21" customWidth="1"/>
    <col min="5" max="5" width="14" customWidth="1"/>
    <col min="6" max="6" width="15" customWidth="1"/>
    <col min="7" max="7" width="14" customWidth="1"/>
    <col min="8" max="9" width="12" customWidth="1"/>
    <col min="10" max="10" width="10" customWidth="1"/>
    <col min="11" max="11" width="11" customWidth="1"/>
    <col min="12" max="12" width="44" customWidth="1"/>
  </cols>
  <sheetData>
    <row r="1" ht="30" customHeight="1" spans="1:12" x14ac:dyDescent="0.25">
      <c r="A1" s="11" t="s">
        <v>32</v>
      </c>
      <c r="B1" s="11" t="s">
        <v>33</v>
      </c>
      <c r="C1" s="11" t="s">
        <v>34</v>
      </c>
      <c r="D1" s="11" t="s">
        <v>35</v>
      </c>
      <c r="E1" s="11" t="s">
        <v>36</v>
      </c>
      <c r="F1" s="11" t="s">
        <v>37</v>
      </c>
      <c r="G1" s="11" t="s">
        <v>38</v>
      </c>
      <c r="H1" s="11" t="s">
        <v>39</v>
      </c>
      <c r="I1" s="11" t="s">
        <v>40</v>
      </c>
      <c r="J1" s="11" t="s">
        <v>41</v>
      </c>
      <c r="K1" s="11" t="s">
        <v>42</v>
      </c>
      <c r="L1" s="11" t="s">
        <v>43</v>
      </c>
    </row>
    <row r="2" ht="30" customHeight="1" spans="1:12" x14ac:dyDescent="0.25">
      <c r="A2" s="12" t="s">
        <v>44</v>
      </c>
      <c r="B2" s="13" t="s">
        <v>45</v>
      </c>
      <c r="C2" s="12" t="s">
        <v>46</v>
      </c>
      <c r="D2" s="14" t="s">
        <v>47</v>
      </c>
      <c r="E2" s="15">
        <v>44634</v>
      </c>
      <c r="F2" s="16">
        <v>35000</v>
      </c>
      <c r="G2" s="16">
        <v>46500</v>
      </c>
      <c r="H2" s="17">
        <f>G2-F2</f>
      </c>
      <c r="I2" s="18">
        <f>SUMIF('Service Log'!$B$4:$B$200,$A2,'Service Log'!$I$4:$I$200)</f>
      </c>
      <c r="J2" s="17">
        <f>COUNTIF('Service Log'!$B$4:$B$200,$A2)</f>
      </c>
      <c r="K2" s="19">
        <f>IF(H2&gt;0,I2/H2,0)</f>
      </c>
      <c r="L2" s="13" t="s">
        <v>48</v>
      </c>
    </row>
    <row r="3" ht="30" customHeight="1" spans="1:12" x14ac:dyDescent="0.25">
      <c r="A3" s="12" t="s">
        <v>49</v>
      </c>
      <c r="B3" s="13" t="s">
        <v>50</v>
      </c>
      <c r="C3" s="12" t="s">
        <v>46</v>
      </c>
      <c r="D3" s="14" t="s">
        <v>51</v>
      </c>
      <c r="E3" s="15">
        <v>44349</v>
      </c>
      <c r="F3" s="16">
        <v>52000</v>
      </c>
      <c r="G3" s="16">
        <v>61800</v>
      </c>
      <c r="H3" s="17">
        <f>G3-F3</f>
      </c>
      <c r="I3" s="18">
        <f>SUMIF('Service Log'!$B$4:$B$200,$A3,'Service Log'!$I$4:$I$200)</f>
      </c>
      <c r="J3" s="17">
        <f>COUNTIF('Service Log'!$B$4:$B$200,$A3)</f>
      </c>
      <c r="K3" s="19">
        <f>IF(H3&gt;0,I3/H3,0)</f>
      </c>
      <c r="L3" s="13" t="s">
        <v>52</v>
      </c>
    </row>
    <row r="4" ht="30" customHeight="1" spans="1:12" x14ac:dyDescent="0.25">
      <c r="A4" s="12" t="s">
        <v>53</v>
      </c>
      <c r="B4" s="13" t="s">
        <v>54</v>
      </c>
      <c r="C4" s="12" t="s">
        <v>55</v>
      </c>
      <c r="D4" s="14" t="s">
        <v>56</v>
      </c>
      <c r="E4" s="15">
        <v>44946</v>
      </c>
      <c r="F4" s="16">
        <v>24000</v>
      </c>
      <c r="G4" s="16">
        <v>33400</v>
      </c>
      <c r="H4" s="17">
        <f>G4-F4</f>
      </c>
      <c r="I4" s="18">
        <f>SUMIF('Service Log'!$B$4:$B$200,$A4,'Service Log'!$I$4:$I$200)</f>
      </c>
      <c r="J4" s="17">
        <f>COUNTIF('Service Log'!$B$4:$B$200,$A4)</f>
      </c>
      <c r="K4" s="19">
        <f>IF(H4&gt;0,I4/H4,0)</f>
      </c>
      <c r="L4" s="13" t="s">
        <v>57</v>
      </c>
    </row>
    <row r="5" ht="30" customHeight="1" spans="1:12" x14ac:dyDescent="0.25">
      <c r="A5" s="12" t="s">
        <v>58</v>
      </c>
      <c r="B5" s="13" t="s">
        <v>59</v>
      </c>
      <c r="C5" s="12" t="s">
        <v>55</v>
      </c>
      <c r="D5" s="14" t="s">
        <v>60</v>
      </c>
      <c r="E5" s="15">
        <v>44082</v>
      </c>
      <c r="F5" s="16">
        <v>71000</v>
      </c>
      <c r="G5" s="16">
        <v>84900</v>
      </c>
      <c r="H5" s="17">
        <f>G5-F5</f>
      </c>
      <c r="I5" s="18">
        <f>SUMIF('Service Log'!$B$4:$B$200,$A5,'Service Log'!$I$4:$I$200)</f>
      </c>
      <c r="J5" s="17">
        <f>COUNTIF('Service Log'!$B$4:$B$200,$A5)</f>
      </c>
      <c r="K5" s="19">
        <f>IF(H5&gt;0,I5/H5,0)</f>
      </c>
      <c r="L5" s="13" t="s">
        <v>61</v>
      </c>
    </row>
    <row r="6" ht="30" customHeight="1" spans="1:12" x14ac:dyDescent="0.25">
      <c r="A6" s="12" t="s">
        <v>62</v>
      </c>
      <c r="B6" s="13" t="s">
        <v>63</v>
      </c>
      <c r="C6" s="12" t="s">
        <v>46</v>
      </c>
      <c r="D6" s="14" t="s">
        <v>64</v>
      </c>
      <c r="E6" s="15">
        <v>44784</v>
      </c>
      <c r="F6" s="16">
        <v>29000</v>
      </c>
      <c r="G6" s="16">
        <v>38200</v>
      </c>
      <c r="H6" s="17">
        <f>G6-F6</f>
      </c>
      <c r="I6" s="18">
        <f>SUMIF('Service Log'!$B$4:$B$200,$A6,'Service Log'!$I$4:$I$200)</f>
      </c>
      <c r="J6" s="17">
        <f>COUNTIF('Service Log'!$B$4:$B$200,$A6)</f>
      </c>
      <c r="K6" s="19">
        <f>IF(H6&gt;0,I6/H6,0)</f>
      </c>
      <c r="L6" s="13" t="s">
        <v>65</v>
      </c>
    </row>
    <row r="7" ht="30" customHeight="1" spans="1:12" x14ac:dyDescent="0.25">
      <c r="A7" s="12" t="s">
        <v>66</v>
      </c>
      <c r="B7" s="13" t="s">
        <v>67</v>
      </c>
      <c r="C7" s="12" t="s">
        <v>68</v>
      </c>
      <c r="D7" s="14" t="s">
        <v>69</v>
      </c>
      <c r="E7" s="15">
        <v>43577</v>
      </c>
      <c r="F7" s="16">
        <v>98000</v>
      </c>
      <c r="G7" s="16">
        <v>112600</v>
      </c>
      <c r="H7" s="17">
        <f>G7-F7</f>
      </c>
      <c r="I7" s="18">
        <f>SUMIF('Service Log'!$B$4:$B$200,$A7,'Service Log'!$I$4:$I$200)</f>
      </c>
      <c r="J7" s="17">
        <f>COUNTIF('Service Log'!$B$4:$B$200,$A7)</f>
      </c>
      <c r="K7" s="19">
        <f>IF(H7&gt;0,I7/H7,0)</f>
      </c>
      <c r="L7" s="13" t="s">
        <v>70</v>
      </c>
    </row>
  </sheetData>
  <dataValidations count="2">
    <dataValidation type="list" showErrorMessage="1" errorTitle="Invalid vehicle type" error="Choose one of: Pickup, Cargo Van, Box Truck, Passenger Car, SUV, Trailer, Other" sqref="C2:C7">
      <formula1>"Pickup,Cargo Van,Box Truck,Passenger Car,SUV,Trailer,Other"</formula1>
    </dataValidation>
    <dataValidation type="decimal" allowBlank="1" showErrorMessage="1" errorTitle="Invalid odometer" error="Enter a number between 0 and 5000000" sqref="F2:G7">
      <formula1>0</formula1>
      <formula2>5000000</formula2>
    </dataValidation>
  </dataValidation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
  <sheetViews>
    <sheetView workbookViewId="0">
      <pane ySplit="3" topLeftCell="A4" activePane="bottomLeft" state="frozen"/>
      <selection pane="bottomLeft"/>
    </sheetView>
  </sheetViews>
  <sheetFormatPr defaultRowHeight="15" outlineLevelRow="0" outlineLevelCol="0" x14ac:dyDescent="55"/>
  <cols>
    <col min="1" max="1" width="13" customWidth="1"/>
    <col min="3" max="3" width="30" customWidth="1"/>
    <col min="4" max="4" width="11" customWidth="1"/>
    <col min="5" max="5" width="22" customWidth="1"/>
    <col min="7" max="8" width="11" customWidth="1"/>
    <col min="9" max="9" width="12" customWidth="1"/>
    <col min="10" max="10" width="25" customWidth="1"/>
    <col min="11" max="11" width="44" customWidth="1"/>
  </cols>
  <sheetData>
    <row r="1" ht="30" customHeight="1" spans="1:11" x14ac:dyDescent="0.25">
      <c r="A1" s="2" t="s">
        <v>71</v>
      </c>
      <c r="B1" s="2"/>
      <c r="C1" s="2"/>
      <c r="D1" s="2"/>
      <c r="E1" s="2"/>
      <c r="F1" s="2"/>
      <c r="G1" s="2"/>
      <c r="H1" s="2"/>
      <c r="I1" s="2"/>
      <c r="J1" s="2"/>
      <c r="K1" s="2"/>
    </row>
    <row r="2" spans="3:11" x14ac:dyDescent="0.25">
      <c r="C2" s="2"/>
      <c r="J2" s="2"/>
      <c r="K2" s="2"/>
    </row>
    <row r="3" ht="30" customHeight="1" spans="1:11" x14ac:dyDescent="0.25">
      <c r="A3" s="11" t="s">
        <v>72</v>
      </c>
      <c r="B3" s="11" t="s">
        <v>32</v>
      </c>
      <c r="C3" s="11" t="s">
        <v>33</v>
      </c>
      <c r="D3" s="11" t="s">
        <v>73</v>
      </c>
      <c r="E3" s="11" t="s">
        <v>74</v>
      </c>
      <c r="F3" s="11" t="s">
        <v>75</v>
      </c>
      <c r="G3" s="11" t="s">
        <v>76</v>
      </c>
      <c r="H3" s="11" t="s">
        <v>77</v>
      </c>
      <c r="I3" s="11" t="s">
        <v>78</v>
      </c>
      <c r="J3" s="11" t="s">
        <v>79</v>
      </c>
      <c r="K3" s="11" t="s">
        <v>43</v>
      </c>
    </row>
    <row r="4" ht="30" customHeight="1" spans="1:11" x14ac:dyDescent="0.25">
      <c r="A4" s="15">
        <v>45958</v>
      </c>
      <c r="B4" s="12" t="s">
        <v>66</v>
      </c>
      <c r="C4" s="20">
        <f>IFERROR(INDEX(Vehicles!$B$2:$B$50,MATCH($B4,Vehicles!$A$2:$A$50,0)),"(unknown unit)")</f>
      </c>
      <c r="D4" s="16">
        <v>102400</v>
      </c>
      <c r="E4" s="14" t="s">
        <v>80</v>
      </c>
      <c r="F4" s="21">
        <v>2</v>
      </c>
      <c r="G4" s="22">
        <v>110</v>
      </c>
      <c r="H4" s="22">
        <v>35</v>
      </c>
      <c r="I4" s="23">
        <f>F4*G4+H4</f>
      </c>
      <c r="J4" s="13" t="s">
        <v>81</v>
      </c>
      <c r="K4" s="13" t="s">
        <v>82</v>
      </c>
    </row>
    <row r="5" ht="30" customHeight="1" spans="1:11" x14ac:dyDescent="0.25">
      <c r="A5" s="15">
        <v>46032</v>
      </c>
      <c r="B5" s="12" t="s">
        <v>44</v>
      </c>
      <c r="C5" s="20">
        <f>IFERROR(INDEX(Vehicles!$B$2:$B$50,MATCH($B5,Vehicles!$A$2:$A$50,0)),"(unknown unit)")</f>
      </c>
      <c r="D5" s="16">
        <v>35400</v>
      </c>
      <c r="E5" s="14" t="s">
        <v>83</v>
      </c>
      <c r="F5" s="21">
        <v>1</v>
      </c>
      <c r="G5" s="22">
        <v>90</v>
      </c>
      <c r="H5" s="22">
        <v>22</v>
      </c>
      <c r="I5" s="23">
        <f>F5*G5+H5</f>
      </c>
      <c r="J5" s="13" t="s">
        <v>84</v>
      </c>
      <c r="K5" s="13" t="s">
        <v>85</v>
      </c>
    </row>
    <row r="6" ht="15" customHeight="1" spans="1:11" x14ac:dyDescent="0.25">
      <c r="A6" s="15">
        <v>46042</v>
      </c>
      <c r="B6" s="12" t="s">
        <v>66</v>
      </c>
      <c r="C6" s="20">
        <f>IFERROR(INDEX(Vehicles!$B$2:$B$50,MATCH($B6,Vehicles!$A$2:$A$50,0)),"(unknown unit)")</f>
      </c>
      <c r="D6" s="16">
        <v>103900</v>
      </c>
      <c r="E6" s="14" t="s">
        <v>86</v>
      </c>
      <c r="F6" s="21">
        <v>2</v>
      </c>
      <c r="G6" s="22">
        <v>110</v>
      </c>
      <c r="H6" s="22">
        <v>112</v>
      </c>
      <c r="I6" s="23">
        <f>F6*G6+H6</f>
      </c>
      <c r="J6" s="13" t="s">
        <v>81</v>
      </c>
      <c r="K6" s="13" t="s">
        <v>87</v>
      </c>
    </row>
    <row r="7" ht="15" customHeight="1" spans="1:11" x14ac:dyDescent="0.25">
      <c r="A7" s="15">
        <v>46044</v>
      </c>
      <c r="B7" s="12" t="s">
        <v>58</v>
      </c>
      <c r="C7" s="20">
        <f>IFERROR(INDEX(Vehicles!$B$2:$B$50,MATCH($B7,Vehicles!$A$2:$A$50,0)),"(unknown unit)")</f>
      </c>
      <c r="D7" s="16">
        <v>74600</v>
      </c>
      <c r="E7" s="14" t="s">
        <v>86</v>
      </c>
      <c r="F7" s="21">
        <v>1</v>
      </c>
      <c r="G7" s="22">
        <v>90</v>
      </c>
      <c r="H7" s="22">
        <v>58</v>
      </c>
      <c r="I7" s="23">
        <f>F7*G7+H7</f>
      </c>
      <c r="J7" s="13" t="s">
        <v>84</v>
      </c>
      <c r="K7" s="13" t="s">
        <v>88</v>
      </c>
    </row>
    <row r="8" ht="15" customHeight="1" spans="1:11" x14ac:dyDescent="0.25">
      <c r="A8" s="15">
        <v>46062</v>
      </c>
      <c r="B8" s="12" t="s">
        <v>49</v>
      </c>
      <c r="C8" s="20">
        <f>IFERROR(INDEX(Vehicles!$B$2:$B$50,MATCH($B8,Vehicles!$A$2:$A$50,0)),"(unknown unit)")</f>
      </c>
      <c r="D8" s="16">
        <v>54300</v>
      </c>
      <c r="E8" s="14" t="s">
        <v>89</v>
      </c>
      <c r="F8" s="21">
        <v>3</v>
      </c>
      <c r="G8" s="22">
        <v>125</v>
      </c>
      <c r="H8" s="22">
        <v>210</v>
      </c>
      <c r="I8" s="23">
        <f>F8*G8+H8</f>
      </c>
      <c r="J8" s="13" t="s">
        <v>90</v>
      </c>
      <c r="K8" s="13" t="s">
        <v>91</v>
      </c>
    </row>
    <row r="9" ht="15" customHeight="1" spans="1:11" x14ac:dyDescent="0.25">
      <c r="A9" s="15">
        <v>46070</v>
      </c>
      <c r="B9" s="12" t="s">
        <v>58</v>
      </c>
      <c r="C9" s="20">
        <f>IFERROR(INDEX(Vehicles!$B$2:$B$50,MATCH($B9,Vehicles!$A$2:$A$50,0)),"(unknown unit)")</f>
      </c>
      <c r="D9" s="16">
        <v>76300</v>
      </c>
      <c r="E9" s="14" t="s">
        <v>83</v>
      </c>
      <c r="F9" s="21">
        <v>1</v>
      </c>
      <c r="G9" s="22">
        <v>90</v>
      </c>
      <c r="H9" s="22">
        <v>30</v>
      </c>
      <c r="I9" s="23">
        <f>F9*G9+H9</f>
      </c>
      <c r="J9" s="13" t="s">
        <v>84</v>
      </c>
      <c r="K9" s="13" t="s">
        <v>92</v>
      </c>
    </row>
    <row r="10" ht="15" customHeight="1" spans="1:11" x14ac:dyDescent="0.25">
      <c r="A10" s="15">
        <v>46079</v>
      </c>
      <c r="B10" s="12" t="s">
        <v>44</v>
      </c>
      <c r="C10" s="20">
        <f>IFERROR(INDEX(Vehicles!$B$2:$B$50,MATCH($B10,Vehicles!$A$2:$A$50,0)),"(unknown unit)")</f>
      </c>
      <c r="D10" s="16">
        <v>37000</v>
      </c>
      <c r="E10" s="14" t="s">
        <v>86</v>
      </c>
      <c r="F10" s="21">
        <v>1</v>
      </c>
      <c r="G10" s="22">
        <v>90</v>
      </c>
      <c r="H10" s="22">
        <v>60</v>
      </c>
      <c r="I10" s="23">
        <f>F10*G10+H10</f>
      </c>
      <c r="J10" s="13" t="s">
        <v>84</v>
      </c>
      <c r="K10" s="13" t="s">
        <v>88</v>
      </c>
    </row>
    <row r="11" ht="15" customHeight="1" spans="1:11" x14ac:dyDescent="0.25">
      <c r="A11" s="15">
        <v>46084</v>
      </c>
      <c r="B11" s="12" t="s">
        <v>53</v>
      </c>
      <c r="C11" s="20">
        <f>IFERROR(INDEX(Vehicles!$B$2:$B$50,MATCH($B11,Vehicles!$A$2:$A$50,0)),"(unknown unit)")</f>
      </c>
      <c r="D11" s="16">
        <v>27000</v>
      </c>
      <c r="E11" s="14" t="s">
        <v>86</v>
      </c>
      <c r="F11" s="21">
        <v>1</v>
      </c>
      <c r="G11" s="22">
        <v>90</v>
      </c>
      <c r="H11" s="22">
        <v>71</v>
      </c>
      <c r="I11" s="23">
        <f>F11*G11+H11</f>
      </c>
      <c r="J11" s="13" t="s">
        <v>84</v>
      </c>
      <c r="K11" s="13" t="s">
        <v>88</v>
      </c>
    </row>
    <row r="12" ht="15" customHeight="1" spans="1:11" x14ac:dyDescent="0.25">
      <c r="A12" s="15">
        <v>46099</v>
      </c>
      <c r="B12" s="12" t="s">
        <v>49</v>
      </c>
      <c r="C12" s="20">
        <f>IFERROR(INDEX(Vehicles!$B$2:$B$50,MATCH($B12,Vehicles!$A$2:$A$50,0)),"(unknown unit)")</f>
      </c>
      <c r="D12" s="16">
        <v>56100</v>
      </c>
      <c r="E12" s="14" t="s">
        <v>86</v>
      </c>
      <c r="F12" s="21">
        <v>1</v>
      </c>
      <c r="G12" s="22">
        <v>75</v>
      </c>
      <c r="H12" s="22">
        <v>62</v>
      </c>
      <c r="I12" s="23">
        <f>F12*G12+H12</f>
      </c>
      <c r="J12" s="13" t="s">
        <v>93</v>
      </c>
      <c r="K12" s="13" t="s">
        <v>94</v>
      </c>
    </row>
    <row r="13" ht="15" customHeight="1" spans="1:11" x14ac:dyDescent="0.25">
      <c r="A13" s="15">
        <v>46114</v>
      </c>
      <c r="B13" s="12" t="s">
        <v>66</v>
      </c>
      <c r="C13" s="20">
        <f>IFERROR(INDEX(Vehicles!$B$2:$B$50,MATCH($B13,Vehicles!$A$2:$A$50,0)),"(unknown unit)")</f>
      </c>
      <c r="D13" s="16">
        <v>106100</v>
      </c>
      <c r="E13" s="14" t="s">
        <v>95</v>
      </c>
      <c r="F13" s="21">
        <v>4</v>
      </c>
      <c r="G13" s="22">
        <v>110</v>
      </c>
      <c r="H13" s="22">
        <v>860</v>
      </c>
      <c r="I13" s="23">
        <f>F13*G13+H13</f>
      </c>
      <c r="J13" s="13" t="s">
        <v>81</v>
      </c>
      <c r="K13" s="13" t="s">
        <v>96</v>
      </c>
    </row>
    <row r="14" ht="15" customHeight="1" spans="1:11" x14ac:dyDescent="0.25">
      <c r="A14" s="15">
        <v>46120</v>
      </c>
      <c r="B14" s="12" t="s">
        <v>53</v>
      </c>
      <c r="C14" s="20">
        <f>IFERROR(INDEX(Vehicles!$B$2:$B$50,MATCH($B14,Vehicles!$A$2:$A$50,0)),"(unknown unit)")</f>
      </c>
      <c r="D14" s="16">
        <v>28200</v>
      </c>
      <c r="E14" s="14" t="s">
        <v>97</v>
      </c>
      <c r="F14" s="21">
        <v>0.5</v>
      </c>
      <c r="G14" s="22">
        <v>90</v>
      </c>
      <c r="H14" s="22">
        <v>0</v>
      </c>
      <c r="I14" s="23">
        <f>F14*G14+H14</f>
      </c>
      <c r="J14" s="13" t="s">
        <v>84</v>
      </c>
      <c r="K14" s="13" t="s">
        <v>98</v>
      </c>
    </row>
    <row r="15" ht="15" customHeight="1" spans="1:11" x14ac:dyDescent="0.25">
      <c r="A15" s="15">
        <v>46132</v>
      </c>
      <c r="B15" s="12" t="s">
        <v>44</v>
      </c>
      <c r="C15" s="20">
        <f>IFERROR(INDEX(Vehicles!$B$2:$B$50,MATCH($B15,Vehicles!$A$2:$A$50,0)),"(unknown unit)")</f>
      </c>
      <c r="D15" s="16">
        <v>39000</v>
      </c>
      <c r="E15" s="14" t="s">
        <v>97</v>
      </c>
      <c r="F15" s="21">
        <v>0.5</v>
      </c>
      <c r="G15" s="22">
        <v>90</v>
      </c>
      <c r="H15" s="22">
        <v>0</v>
      </c>
      <c r="I15" s="23">
        <f>F15*G15+H15</f>
      </c>
      <c r="J15" s="13" t="s">
        <v>84</v>
      </c>
      <c r="K15" s="13" t="s">
        <v>98</v>
      </c>
    </row>
    <row r="16" ht="15" customHeight="1" spans="1:11" x14ac:dyDescent="0.25">
      <c r="A16" s="15">
        <v>46147</v>
      </c>
      <c r="B16" s="12" t="s">
        <v>58</v>
      </c>
      <c r="C16" s="20">
        <f>IFERROR(INDEX(Vehicles!$B$2:$B$50,MATCH($B16,Vehicles!$A$2:$A$50,0)),"(unknown unit)")</f>
      </c>
      <c r="D16" s="16">
        <v>79600</v>
      </c>
      <c r="E16" s="14" t="s">
        <v>86</v>
      </c>
      <c r="F16" s="21">
        <v>1</v>
      </c>
      <c r="G16" s="22">
        <v>90</v>
      </c>
      <c r="H16" s="22">
        <v>61</v>
      </c>
      <c r="I16" s="23">
        <f>F16*G16+H16</f>
      </c>
      <c r="J16" s="13" t="s">
        <v>84</v>
      </c>
      <c r="K16" s="13" t="s">
        <v>88</v>
      </c>
    </row>
    <row r="17" ht="15" customHeight="1" spans="1:11" x14ac:dyDescent="0.25">
      <c r="A17" s="15">
        <v>46161</v>
      </c>
      <c r="B17" s="12" t="s">
        <v>62</v>
      </c>
      <c r="C17" s="20">
        <f>IFERROR(INDEX(Vehicles!$B$2:$B$50,MATCH($B17,Vehicles!$A$2:$A$50,0)),"(unknown unit)")</f>
      </c>
      <c r="D17" s="16">
        <v>31400</v>
      </c>
      <c r="E17" s="14" t="s">
        <v>86</v>
      </c>
      <c r="F17" s="21">
        <v>1</v>
      </c>
      <c r="G17" s="22">
        <v>90</v>
      </c>
      <c r="H17" s="22">
        <v>55</v>
      </c>
      <c r="I17" s="23">
        <f>F17*G17+H17</f>
      </c>
      <c r="J17" s="13" t="s">
        <v>84</v>
      </c>
      <c r="K17" s="13" t="s">
        <v>88</v>
      </c>
    </row>
    <row r="18" ht="15" customHeight="1" spans="1:11" x14ac:dyDescent="0.25">
      <c r="A18" s="15">
        <v>46185</v>
      </c>
      <c r="B18" s="12" t="s">
        <v>44</v>
      </c>
      <c r="C18" s="20">
        <f>IFERROR(INDEX(Vehicles!$B$2:$B$50,MATCH($B18,Vehicles!$A$2:$A$50,0)),"(unknown unit)")</f>
      </c>
      <c r="D18" s="16">
        <v>42000</v>
      </c>
      <c r="E18" s="14" t="s">
        <v>86</v>
      </c>
      <c r="F18" s="21">
        <v>1.5</v>
      </c>
      <c r="G18" s="22">
        <v>90</v>
      </c>
      <c r="H18" s="22">
        <v>64</v>
      </c>
      <c r="I18" s="23">
        <f>F18*G18+H18</f>
      </c>
      <c r="J18" s="13" t="s">
        <v>84</v>
      </c>
      <c r="K18" s="13" t="s">
        <v>99</v>
      </c>
    </row>
    <row r="19" ht="15" customHeight="1" spans="1:11" x14ac:dyDescent="0.25">
      <c r="A19" s="15">
        <v>46217</v>
      </c>
      <c r="B19" s="12" t="s">
        <v>66</v>
      </c>
      <c r="C19" s="20">
        <f>IFERROR(INDEX(Vehicles!$B$2:$B$50,MATCH($B19,Vehicles!$A$2:$A$50,0)),"(unknown unit)")</f>
      </c>
      <c r="D19" s="16">
        <v>109800</v>
      </c>
      <c r="E19" s="14" t="s">
        <v>86</v>
      </c>
      <c r="F19" s="21">
        <v>2</v>
      </c>
      <c r="G19" s="22">
        <v>110</v>
      </c>
      <c r="H19" s="22">
        <v>118</v>
      </c>
      <c r="I19" s="23">
        <f>F19*G19+H19</f>
      </c>
      <c r="J19" s="13" t="s">
        <v>81</v>
      </c>
      <c r="K19" s="13" t="s">
        <v>87</v>
      </c>
    </row>
    <row r="20" ht="15" customHeight="1" spans="1:11" x14ac:dyDescent="0.25">
      <c r="A20" s="15">
        <v>46233</v>
      </c>
      <c r="B20" s="12" t="s">
        <v>49</v>
      </c>
      <c r="C20" s="20">
        <f>IFERROR(INDEX(Vehicles!$B$2:$B$50,MATCH($B20,Vehicles!$A$2:$A$50,0)),"(unknown unit)")</f>
      </c>
      <c r="D20" s="16">
        <v>57400</v>
      </c>
      <c r="E20" s="14" t="s">
        <v>95</v>
      </c>
      <c r="F20" s="21">
        <v>3</v>
      </c>
      <c r="G20" s="22">
        <v>125</v>
      </c>
      <c r="H20" s="22">
        <v>640</v>
      </c>
      <c r="I20" s="23">
        <f>F20*G20+H20</f>
      </c>
      <c r="J20" s="13" t="s">
        <v>90</v>
      </c>
      <c r="K20" s="13" t="s">
        <v>100</v>
      </c>
    </row>
    <row r="21" ht="15" customHeight="1" spans="1:11" x14ac:dyDescent="0.25">
      <c r="A21" s="15">
        <v>46245</v>
      </c>
      <c r="B21" s="12" t="s">
        <v>53</v>
      </c>
      <c r="C21" s="20">
        <f>IFERROR(INDEX(Vehicles!$B$2:$B$50,MATCH($B21,Vehicles!$A$2:$A$50,0)),"(unknown unit)")</f>
      </c>
      <c r="D21" s="16">
        <v>31000</v>
      </c>
      <c r="E21" s="14" t="s">
        <v>95</v>
      </c>
      <c r="F21" s="21">
        <v>2</v>
      </c>
      <c r="G21" s="22">
        <v>90</v>
      </c>
      <c r="H21" s="22">
        <v>185</v>
      </c>
      <c r="I21" s="23">
        <f>F21*G21+H21</f>
      </c>
      <c r="J21" s="13" t="s">
        <v>84</v>
      </c>
      <c r="K21" s="13" t="s">
        <v>101</v>
      </c>
    </row>
    <row r="22" ht="15" customHeight="1" spans="1:11" x14ac:dyDescent="0.25">
      <c r="A22" s="15">
        <v>46259</v>
      </c>
      <c r="B22" s="12" t="s">
        <v>49</v>
      </c>
      <c r="C22" s="20">
        <f>IFERROR(INDEX(Vehicles!$B$2:$B$50,MATCH($B22,Vehicles!$A$2:$A$50,0)),"(unknown unit)")</f>
      </c>
      <c r="D22" s="16">
        <v>58200</v>
      </c>
      <c r="E22" s="14" t="s">
        <v>86</v>
      </c>
      <c r="F22" s="21">
        <v>1</v>
      </c>
      <c r="G22" s="22">
        <v>75</v>
      </c>
      <c r="H22" s="22">
        <v>66</v>
      </c>
      <c r="I22" s="23">
        <f>F22*G22+H22</f>
      </c>
      <c r="J22" s="13" t="s">
        <v>93</v>
      </c>
      <c r="K22" s="13" t="s">
        <v>94</v>
      </c>
    </row>
    <row r="23" ht="15" customHeight="1" spans="1:11" x14ac:dyDescent="0.25">
      <c r="A23" s="15">
        <v>46267</v>
      </c>
      <c r="B23" s="12" t="s">
        <v>62</v>
      </c>
      <c r="C23" s="20">
        <f>IFERROR(INDEX(Vehicles!$B$2:$B$50,MATCH($B23,Vehicles!$A$2:$A$50,0)),"(unknown unit)")</f>
      </c>
      <c r="D23" s="16">
        <v>36000</v>
      </c>
      <c r="E23" s="14" t="s">
        <v>86</v>
      </c>
      <c r="F23" s="21">
        <v>1</v>
      </c>
      <c r="G23" s="22">
        <v>90</v>
      </c>
      <c r="H23" s="22">
        <v>57</v>
      </c>
      <c r="I23" s="23">
        <f>F23*G23+H23</f>
      </c>
      <c r="J23" s="13" t="s">
        <v>84</v>
      </c>
      <c r="K23" s="13" t="s">
        <v>88</v>
      </c>
    </row>
  </sheetData>
  <mergeCells count="1">
    <mergeCell ref="A1:K1"/>
  </mergeCells>
  <dataValidations count="12">
    <dataValidation type="list" allowBlank="1" showErrorMessage="1" errorTitle="Unknown unit ID" error="Pick a Unit ID listed on the Vehicles sheet, or add the vehicle there first." sqref="B10:B23">
      <formula1>Vehicles!$A$2:$A$50</formula1>
    </dataValidation>
    <dataValidation type="list" allowBlank="1" showErrorMessage="1" errorTitle="Unknown unit ID" error="Pick a Unit ID listed on the Vehicles sheet, or add the vehicle there first." sqref="B4:B23">
      <formula1>Vehicles!$A$2:$A$50</formula1>
    </dataValidation>
    <dataValidation type="decimal" allowBlank="1" showErrorMessage="1" errorTitle="Invalid odometer" error="Enter a number between 0 and 5000000" sqref="D10:D23">
      <formula1>0</formula1>
      <formula2>5000000</formula2>
    </dataValidation>
    <dataValidation type="decimal" allowBlank="1" showErrorMessage="1" errorTitle="Invalid odometer" error="Enter a number between 0 and 5000000" sqref="D4:D23">
      <formula1>0</formula1>
      <formula2>5000000</formula2>
    </dataValidation>
    <dataValidation type="list" allowBlank="1" showErrorMessage="1" errorStyle="warning" errorTitle="New service type?" error="Not in the starter list (Oil Change, Tire Rotation, Brake Inspection, Transmission Service, Annual DOT Inspection, Repair). Keep the name identical on Service Log and Service Schedule so the schedule can match it." sqref="E10:E23">
      <formula1>"Oil Change,Tire Rotation,Brake Inspection,Transmission Service,Annual DOT Inspection,Repair"</formula1>
    </dataValidation>
    <dataValidation type="list" allowBlank="1" showErrorMessage="1" errorStyle="warning" errorTitle="New service type?" error="Not in the starter list (Oil Change, Tire Rotation, Brake Inspection, Transmission Service, Annual DOT Inspection, Repair). Keep the name identical on Service Log and Service Schedule so the schedule can match it." sqref="E4:E23">
      <formula1>"Oil Change,Tire Rotation,Brake Inspection,Transmission Service,Annual DOT Inspection,Repair"</formula1>
    </dataValidation>
    <dataValidation type="decimal" allowBlank="1" showErrorMessage="1" errorTitle="Invalid labor hours" error="Enter a number between 0 and 1000" sqref="F10:F23">
      <formula1>0</formula1>
      <formula2>1000</formula2>
    </dataValidation>
    <dataValidation type="decimal" allowBlank="1" showErrorMessage="1" errorTitle="Invalid labor hours" error="Enter a number between 0 and 1000" sqref="F4:F23">
      <formula1>0</formula1>
      <formula2>1000</formula2>
    </dataValidation>
    <dataValidation type="decimal" allowBlank="1" showErrorMessage="1" errorTitle="Invalid labor rate" error="Enter a number between 0 and 10000" sqref="G10:G23">
      <formula1>0</formula1>
      <formula2>10000</formula2>
    </dataValidation>
    <dataValidation type="decimal" allowBlank="1" showErrorMessage="1" errorTitle="Invalid labor rate" error="Enter a number between 0 and 10000" sqref="G4:G23">
      <formula1>0</formula1>
      <formula2>10000</formula2>
    </dataValidation>
    <dataValidation type="decimal" allowBlank="1" showErrorMessage="1" errorTitle="Invalid parts cost" error="Enter a number between 0 and 1000000" sqref="H10:H23">
      <formula1>0</formula1>
      <formula2>1000000</formula2>
    </dataValidation>
    <dataValidation type="decimal" allowBlank="1" showErrorMessage="1" errorTitle="Invalid parts cost" error="Enter a number between 0 and 1000000" sqref="H4:H23">
      <formula1>0</formula1>
      <formula2>1000000</formula2>
    </dataValidation>
  </dataValidations>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8"/>
  <sheetViews>
    <sheetView workbookViewId="0">
      <pane ySplit="6" topLeftCell="A7" activePane="bottomLeft" state="frozen"/>
      <selection pane="bottomLeft"/>
    </sheetView>
  </sheetViews>
  <sheetFormatPr defaultRowHeight="15" outlineLevelRow="0" outlineLevelCol="0" x14ac:dyDescent="55"/>
  <cols>
    <col min="2" max="2" width="28" customWidth="1"/>
    <col min="3" max="3" width="22" customWidth="1"/>
    <col min="4" max="5" width="10" customWidth="1"/>
    <col min="6" max="9" width="12" customWidth="1"/>
    <col min="10" max="10" width="11" customWidth="1"/>
    <col min="11" max="11" width="12" customWidth="1"/>
    <col min="12" max="13" width="11" customWidth="1"/>
    <col min="14" max="15" width="10" customWidth="1"/>
    <col min="16" max="16" width="9" hidden="1" customWidth="1"/>
  </cols>
  <sheetData>
    <row r="1" ht="30" customHeight="1" spans="1:15" x14ac:dyDescent="0.25">
      <c r="A1" s="2" t="s">
        <v>102</v>
      </c>
      <c r="B1" s="2"/>
      <c r="C1" s="2"/>
      <c r="D1" s="2"/>
      <c r="E1" s="2"/>
      <c r="F1" s="2"/>
      <c r="G1" s="2"/>
      <c r="H1" s="2"/>
      <c r="I1" s="2"/>
      <c r="J1" s="2"/>
      <c r="K1" s="2"/>
      <c r="L1" s="2"/>
      <c r="M1" s="2"/>
      <c r="N1" s="2"/>
      <c r="O1" s="2"/>
    </row>
    <row r="2" spans="1:3" x14ac:dyDescent="0.25">
      <c r="A2" s="5" t="s">
        <v>103</v>
      </c>
      <c r="B2" s="5"/>
      <c r="C2" s="24">
        <v>46310</v>
      </c>
    </row>
    <row r="3" spans="1:3" x14ac:dyDescent="0.25">
      <c r="A3" s="5" t="s">
        <v>104</v>
      </c>
      <c r="B3" s="5"/>
      <c r="C3" s="25">
        <v>500</v>
      </c>
    </row>
    <row r="4" spans="1:3" x14ac:dyDescent="0.25">
      <c r="A4" s="5" t="s">
        <v>105</v>
      </c>
      <c r="B4" s="5"/>
      <c r="C4" s="25">
        <v>14</v>
      </c>
    </row>
    <row r="5" spans="2:3" x14ac:dyDescent="0.25">
      <c r="B5" s="2"/>
      <c r="C5" s="2"/>
    </row>
    <row r="6" ht="44" customHeight="1" spans="1:16" x14ac:dyDescent="0.25">
      <c r="A6" s="11" t="s">
        <v>32</v>
      </c>
      <c r="B6" s="11" t="s">
        <v>33</v>
      </c>
      <c r="C6" s="11" t="s">
        <v>74</v>
      </c>
      <c r="D6" s="11" t="s">
        <v>106</v>
      </c>
      <c r="E6" s="11" t="s">
        <v>107</v>
      </c>
      <c r="F6" s="11" t="s">
        <v>108</v>
      </c>
      <c r="G6" s="11" t="s">
        <v>109</v>
      </c>
      <c r="H6" s="11" t="s">
        <v>38</v>
      </c>
      <c r="I6" s="11" t="s">
        <v>110</v>
      </c>
      <c r="J6" s="11" t="s">
        <v>111</v>
      </c>
      <c r="K6" s="11" t="s">
        <v>112</v>
      </c>
      <c r="L6" s="11" t="s">
        <v>113</v>
      </c>
      <c r="M6" s="11" t="s">
        <v>114</v>
      </c>
      <c r="N6" s="11" t="s">
        <v>115</v>
      </c>
      <c r="O6" s="11" t="s">
        <v>116</v>
      </c>
      <c r="P6" s="11" t="s">
        <v>117</v>
      </c>
    </row>
    <row r="7" ht="32" customHeight="1" spans="1:16" x14ac:dyDescent="0.25">
      <c r="A7" s="12" t="s">
        <v>44</v>
      </c>
      <c r="B7" s="20">
        <f>IFERROR(INDEX(Vehicles!$B$2:$B$50,MATCH($A7,Vehicles!$A$2:$A$50,0)),"(unknown unit)")</f>
      </c>
      <c r="C7" s="13" t="s">
        <v>86</v>
      </c>
      <c r="D7" s="16">
        <v>5000</v>
      </c>
      <c r="E7" s="16">
        <v>180</v>
      </c>
      <c r="F7" s="26">
        <f>IF(COUNTIFS('Service Log'!$B$4:$B$200,$A7,'Service Log'!$E$4:$E$200,$C7)=0,"n/a",SUMPRODUCT(MAX(('Service Log'!$B$4:$B$200=$A7)*('Service Log'!$E$4:$E$200=$C7)*'Service Log'!$A$4:$A$200)))</f>
      </c>
      <c r="G7" s="27">
        <f>IF(COUNTIFS('Service Log'!$B$4:$B$200,$A7,'Service Log'!$E$4:$E$200,$C7)=0,"n/a",SUMPRODUCT(MAX(('Service Log'!$B$4:$B$200=$A7)*('Service Log'!$E$4:$E$200=$C7)*'Service Log'!$D$4:$D$200)))</f>
      </c>
      <c r="H7" s="27">
        <f>IFERROR(INDEX(Vehicles!$G$2:$G$50,MATCH($A7,Vehicles!$A$2:$A$50,0)),"n/a")</f>
      </c>
      <c r="I7" s="27">
        <f>IF(OR(F7="n/a",D7&lt;=0),"n/a",G7+D7)</f>
      </c>
      <c r="J7" s="27">
        <f>IF(OR(I7="n/a",H7="n/a"),"n/a",I7-H7)</f>
      </c>
      <c r="K7" s="26">
        <f>IF(OR(F7="n/a",E7&lt;=0),"n/a",F7+E7)</f>
      </c>
      <c r="L7" s="27">
        <f>IF(K7="n/a","n/a",K7-$C$2)</f>
      </c>
      <c r="M7" s="28">
        <f>IF(F7="n/a","No Record",IF(N7=1,"Overdue",IF(O7=1,"Due Soon","OK")))</f>
      </c>
      <c r="N7" s="17">
        <f>IF(OR(N(J7)&lt;0,N(L7)&lt;0),1,0)</f>
      </c>
      <c r="O7" s="17">
        <f>IF(N7=1,0,IF(OR(AND(ISNUMBER(J7),J7&lt;=$C$3),AND(ISNUMBER(L7),L7&lt;=$C$4)),1,0))</f>
      </c>
      <c r="P7" s="17">
        <f>SUM($N$7:N7)</f>
      </c>
    </row>
    <row r="8" ht="32" customHeight="1" spans="1:16" x14ac:dyDescent="0.25">
      <c r="A8" s="12" t="s">
        <v>44</v>
      </c>
      <c r="B8" s="20">
        <f>IFERROR(INDEX(Vehicles!$B$2:$B$50,MATCH($A8,Vehicles!$A$2:$A$50,0)),"(unknown unit)")</f>
      </c>
      <c r="C8" s="13" t="s">
        <v>97</v>
      </c>
      <c r="D8" s="16">
        <v>6000</v>
      </c>
      <c r="E8" s="16">
        <v>180</v>
      </c>
      <c r="F8" s="26">
        <f>IF(COUNTIFS('Service Log'!$B$4:$B$200,$A8,'Service Log'!$E$4:$E$200,$C8)=0,"n/a",SUMPRODUCT(MAX(('Service Log'!$B$4:$B$200=$A8)*('Service Log'!$E$4:$E$200=$C8)*'Service Log'!$A$4:$A$200)))</f>
      </c>
      <c r="G8" s="27">
        <f>IF(COUNTIFS('Service Log'!$B$4:$B$200,$A8,'Service Log'!$E$4:$E$200,$C8)=0,"n/a",SUMPRODUCT(MAX(('Service Log'!$B$4:$B$200=$A8)*('Service Log'!$E$4:$E$200=$C8)*'Service Log'!$D$4:$D$200)))</f>
      </c>
      <c r="H8" s="27">
        <f>IFERROR(INDEX(Vehicles!$G$2:$G$50,MATCH($A8,Vehicles!$A$2:$A$50,0)),"n/a")</f>
      </c>
      <c r="I8" s="27">
        <f>IF(OR(F8="n/a",D8&lt;=0),"n/a",G8+D8)</f>
      </c>
      <c r="J8" s="27">
        <f>IF(OR(I8="n/a",H8="n/a"),"n/a",I8-H8)</f>
      </c>
      <c r="K8" s="26">
        <f>IF(OR(F8="n/a",E8&lt;=0),"n/a",F8+E8)</f>
      </c>
      <c r="L8" s="27">
        <f>IF(K8="n/a","n/a",K8-$C$2)</f>
      </c>
      <c r="M8" s="28">
        <f>IF(F8="n/a","No Record",IF(N8=1,"Overdue",IF(O8=1,"Due Soon","OK")))</f>
      </c>
      <c r="N8" s="17">
        <f>IF(OR(N(J8)&lt;0,N(L8)&lt;0),1,0)</f>
      </c>
      <c r="O8" s="17">
        <f>IF(N8=1,0,IF(OR(AND(ISNUMBER(J8),J8&lt;=$C$3),AND(ISNUMBER(L8),L8&lt;=$C$4)),1,0))</f>
      </c>
      <c r="P8" s="17">
        <f>SUM($N$7:N8)</f>
      </c>
    </row>
    <row r="9" ht="32" customHeight="1" spans="1:16" x14ac:dyDescent="0.25">
      <c r="A9" s="12" t="s">
        <v>44</v>
      </c>
      <c r="B9" s="20">
        <f>IFERROR(INDEX(Vehicles!$B$2:$B$50,MATCH($A9,Vehicles!$A$2:$A$50,0)),"(unknown unit)")</f>
      </c>
      <c r="C9" s="13" t="s">
        <v>83</v>
      </c>
      <c r="D9" s="16">
        <v>15000</v>
      </c>
      <c r="E9" s="16">
        <v>365</v>
      </c>
      <c r="F9" s="26">
        <f>IF(COUNTIFS('Service Log'!$B$4:$B$200,$A9,'Service Log'!$E$4:$E$200,$C9)=0,"n/a",SUMPRODUCT(MAX(('Service Log'!$B$4:$B$200=$A9)*('Service Log'!$E$4:$E$200=$C9)*'Service Log'!$A$4:$A$200)))</f>
      </c>
      <c r="G9" s="27">
        <f>IF(COUNTIFS('Service Log'!$B$4:$B$200,$A9,'Service Log'!$E$4:$E$200,$C9)=0,"n/a",SUMPRODUCT(MAX(('Service Log'!$B$4:$B$200=$A9)*('Service Log'!$E$4:$E$200=$C9)*'Service Log'!$D$4:$D$200)))</f>
      </c>
      <c r="H9" s="27">
        <f>IFERROR(INDEX(Vehicles!$G$2:$G$50,MATCH($A9,Vehicles!$A$2:$A$50,0)),"n/a")</f>
      </c>
      <c r="I9" s="27">
        <f>IF(OR(F9="n/a",D9&lt;=0),"n/a",G9+D9)</f>
      </c>
      <c r="J9" s="27">
        <f>IF(OR(I9="n/a",H9="n/a"),"n/a",I9-H9)</f>
      </c>
      <c r="K9" s="26">
        <f>IF(OR(F9="n/a",E9&lt;=0),"n/a",F9+E9)</f>
      </c>
      <c r="L9" s="27">
        <f>IF(K9="n/a","n/a",K9-$C$2)</f>
      </c>
      <c r="M9" s="28">
        <f>IF(F9="n/a","No Record",IF(N9=1,"Overdue",IF(O9=1,"Due Soon","OK")))</f>
      </c>
      <c r="N9" s="17">
        <f>IF(OR(N(J9)&lt;0,N(L9)&lt;0),1,0)</f>
      </c>
      <c r="O9" s="17">
        <f>IF(N9=1,0,IF(OR(AND(ISNUMBER(J9),J9&lt;=$C$3),AND(ISNUMBER(L9),L9&lt;=$C$4)),1,0))</f>
      </c>
      <c r="P9" s="17">
        <f>SUM($N$7:N9)</f>
      </c>
    </row>
    <row r="10" ht="32" customHeight="1" spans="1:16" x14ac:dyDescent="0.25">
      <c r="A10" s="12" t="s">
        <v>49</v>
      </c>
      <c r="B10" s="20">
        <f>IFERROR(INDEX(Vehicles!$B$2:$B$50,MATCH($A10,Vehicles!$A$2:$A$50,0)),"(unknown unit)")</f>
      </c>
      <c r="C10" s="13" t="s">
        <v>86</v>
      </c>
      <c r="D10" s="16">
        <v>5000</v>
      </c>
      <c r="E10" s="16">
        <v>180</v>
      </c>
      <c r="F10" s="26">
        <f>IF(COUNTIFS('Service Log'!$B$4:$B$200,$A10,'Service Log'!$E$4:$E$200,$C10)=0,"n/a",SUMPRODUCT(MAX(('Service Log'!$B$4:$B$200=$A10)*('Service Log'!$E$4:$E$200=$C10)*'Service Log'!$A$4:$A$200)))</f>
      </c>
      <c r="G10" s="27">
        <f>IF(COUNTIFS('Service Log'!$B$4:$B$200,$A10,'Service Log'!$E$4:$E$200,$C10)=0,"n/a",SUMPRODUCT(MAX(('Service Log'!$B$4:$B$200=$A10)*('Service Log'!$E$4:$E$200=$C10)*'Service Log'!$D$4:$D$200)))</f>
      </c>
      <c r="H10" s="27">
        <f>IFERROR(INDEX(Vehicles!$G$2:$G$50,MATCH($A10,Vehicles!$A$2:$A$50,0)),"n/a")</f>
      </c>
      <c r="I10" s="27">
        <f>IF(OR(F10="n/a",D10&lt;=0),"n/a",G10+D10)</f>
      </c>
      <c r="J10" s="27">
        <f>IF(OR(I10="n/a",H10="n/a"),"n/a",I10-H10)</f>
      </c>
      <c r="K10" s="26">
        <f>IF(OR(F10="n/a",E10&lt;=0),"n/a",F10+E10)</f>
      </c>
      <c r="L10" s="27">
        <f>IF(K10="n/a","n/a",K10-$C$2)</f>
      </c>
      <c r="M10" s="28">
        <f>IF(F10="n/a","No Record",IF(N10=1,"Overdue",IF(O10=1,"Due Soon","OK")))</f>
      </c>
      <c r="N10" s="17">
        <f>IF(OR(N(J10)&lt;0,N(L10)&lt;0),1,0)</f>
      </c>
      <c r="O10" s="17">
        <f>IF(N10=1,0,IF(OR(AND(ISNUMBER(J10),J10&lt;=$C$3),AND(ISNUMBER(L10),L10&lt;=$C$4)),1,0))</f>
      </c>
      <c r="P10" s="17">
        <f>SUM($N$7:N10)</f>
      </c>
    </row>
    <row r="11" ht="32" customHeight="1" spans="1:16" x14ac:dyDescent="0.25">
      <c r="A11" s="12" t="s">
        <v>49</v>
      </c>
      <c r="B11" s="20">
        <f>IFERROR(INDEX(Vehicles!$B$2:$B$50,MATCH($A11,Vehicles!$A$2:$A$50,0)),"(unknown unit)")</f>
      </c>
      <c r="C11" s="13" t="s">
        <v>89</v>
      </c>
      <c r="D11" s="16">
        <v>60000</v>
      </c>
      <c r="E11" s="16">
        <v>730</v>
      </c>
      <c r="F11" s="26">
        <f>IF(COUNTIFS('Service Log'!$B$4:$B$200,$A11,'Service Log'!$E$4:$E$200,$C11)=0,"n/a",SUMPRODUCT(MAX(('Service Log'!$B$4:$B$200=$A11)*('Service Log'!$E$4:$E$200=$C11)*'Service Log'!$A$4:$A$200)))</f>
      </c>
      <c r="G11" s="27">
        <f>IF(COUNTIFS('Service Log'!$B$4:$B$200,$A11,'Service Log'!$E$4:$E$200,$C11)=0,"n/a",SUMPRODUCT(MAX(('Service Log'!$B$4:$B$200=$A11)*('Service Log'!$E$4:$E$200=$C11)*'Service Log'!$D$4:$D$200)))</f>
      </c>
      <c r="H11" s="27">
        <f>IFERROR(INDEX(Vehicles!$G$2:$G$50,MATCH($A11,Vehicles!$A$2:$A$50,0)),"n/a")</f>
      </c>
      <c r="I11" s="27">
        <f>IF(OR(F11="n/a",D11&lt;=0),"n/a",G11+D11)</f>
      </c>
      <c r="J11" s="27">
        <f>IF(OR(I11="n/a",H11="n/a"),"n/a",I11-H11)</f>
      </c>
      <c r="K11" s="26">
        <f>IF(OR(F11="n/a",E11&lt;=0),"n/a",F11+E11)</f>
      </c>
      <c r="L11" s="27">
        <f>IF(K11="n/a","n/a",K11-$C$2)</f>
      </c>
      <c r="M11" s="28">
        <f>IF(F11="n/a","No Record",IF(N11=1,"Overdue",IF(O11=1,"Due Soon","OK")))</f>
      </c>
      <c r="N11" s="17">
        <f>IF(OR(N(J11)&lt;0,N(L11)&lt;0),1,0)</f>
      </c>
      <c r="O11" s="17">
        <f>IF(N11=1,0,IF(OR(AND(ISNUMBER(J11),J11&lt;=$C$3),AND(ISNUMBER(L11),L11&lt;=$C$4)),1,0))</f>
      </c>
      <c r="P11" s="17">
        <f>SUM($N$7:N11)</f>
      </c>
    </row>
    <row r="12" ht="32" customHeight="1" spans="1:16" x14ac:dyDescent="0.25">
      <c r="A12" s="12" t="s">
        <v>53</v>
      </c>
      <c r="B12" s="20">
        <f>IFERROR(INDEX(Vehicles!$B$2:$B$50,MATCH($A12,Vehicles!$A$2:$A$50,0)),"(unknown unit)")</f>
      </c>
      <c r="C12" s="13" t="s">
        <v>86</v>
      </c>
      <c r="D12" s="16">
        <v>7500</v>
      </c>
      <c r="E12" s="16">
        <v>365</v>
      </c>
      <c r="F12" s="26">
        <f>IF(COUNTIFS('Service Log'!$B$4:$B$200,$A12,'Service Log'!$E$4:$E$200,$C12)=0,"n/a",SUMPRODUCT(MAX(('Service Log'!$B$4:$B$200=$A12)*('Service Log'!$E$4:$E$200=$C12)*'Service Log'!$A$4:$A$200)))</f>
      </c>
      <c r="G12" s="27">
        <f>IF(COUNTIFS('Service Log'!$B$4:$B$200,$A12,'Service Log'!$E$4:$E$200,$C12)=0,"n/a",SUMPRODUCT(MAX(('Service Log'!$B$4:$B$200=$A12)*('Service Log'!$E$4:$E$200=$C12)*'Service Log'!$D$4:$D$200)))</f>
      </c>
      <c r="H12" s="27">
        <f>IFERROR(INDEX(Vehicles!$G$2:$G$50,MATCH($A12,Vehicles!$A$2:$A$50,0)),"n/a")</f>
      </c>
      <c r="I12" s="27">
        <f>IF(OR(F12="n/a",D12&lt;=0),"n/a",G12+D12)</f>
      </c>
      <c r="J12" s="27">
        <f>IF(OR(I12="n/a",H12="n/a"),"n/a",I12-H12)</f>
      </c>
      <c r="K12" s="26">
        <f>IF(OR(F12="n/a",E12&lt;=0),"n/a",F12+E12)</f>
      </c>
      <c r="L12" s="27">
        <f>IF(K12="n/a","n/a",K12-$C$2)</f>
      </c>
      <c r="M12" s="28">
        <f>IF(F12="n/a","No Record",IF(N12=1,"Overdue",IF(O12=1,"Due Soon","OK")))</f>
      </c>
      <c r="N12" s="17">
        <f>IF(OR(N(J12)&lt;0,N(L12)&lt;0),1,0)</f>
      </c>
      <c r="O12" s="17">
        <f>IF(N12=1,0,IF(OR(AND(ISNUMBER(J12),J12&lt;=$C$3),AND(ISNUMBER(L12),L12&lt;=$C$4)),1,0))</f>
      </c>
      <c r="P12" s="17">
        <f>SUM($N$7:N12)</f>
      </c>
    </row>
    <row r="13" ht="32" customHeight="1" spans="1:16" x14ac:dyDescent="0.25">
      <c r="A13" s="12" t="s">
        <v>53</v>
      </c>
      <c r="B13" s="20">
        <f>IFERROR(INDEX(Vehicles!$B$2:$B$50,MATCH($A13,Vehicles!$A$2:$A$50,0)),"(unknown unit)")</f>
      </c>
      <c r="C13" s="13" t="s">
        <v>97</v>
      </c>
      <c r="D13" s="16">
        <v>6000</v>
      </c>
      <c r="E13" s="16">
        <v>180</v>
      </c>
      <c r="F13" s="26">
        <f>IF(COUNTIFS('Service Log'!$B$4:$B$200,$A13,'Service Log'!$E$4:$E$200,$C13)=0,"n/a",SUMPRODUCT(MAX(('Service Log'!$B$4:$B$200=$A13)*('Service Log'!$E$4:$E$200=$C13)*'Service Log'!$A$4:$A$200)))</f>
      </c>
      <c r="G13" s="27">
        <f>IF(COUNTIFS('Service Log'!$B$4:$B$200,$A13,'Service Log'!$E$4:$E$200,$C13)=0,"n/a",SUMPRODUCT(MAX(('Service Log'!$B$4:$B$200=$A13)*('Service Log'!$E$4:$E$200=$C13)*'Service Log'!$D$4:$D$200)))</f>
      </c>
      <c r="H13" s="27">
        <f>IFERROR(INDEX(Vehicles!$G$2:$G$50,MATCH($A13,Vehicles!$A$2:$A$50,0)),"n/a")</f>
      </c>
      <c r="I13" s="27">
        <f>IF(OR(F13="n/a",D13&lt;=0),"n/a",G13+D13)</f>
      </c>
      <c r="J13" s="27">
        <f>IF(OR(I13="n/a",H13="n/a"),"n/a",I13-H13)</f>
      </c>
      <c r="K13" s="26">
        <f>IF(OR(F13="n/a",E13&lt;=0),"n/a",F13+E13)</f>
      </c>
      <c r="L13" s="27">
        <f>IF(K13="n/a","n/a",K13-$C$2)</f>
      </c>
      <c r="M13" s="28">
        <f>IF(F13="n/a","No Record",IF(N13=1,"Overdue",IF(O13=1,"Due Soon","OK")))</f>
      </c>
      <c r="N13" s="17">
        <f>IF(OR(N(J13)&lt;0,N(L13)&lt;0),1,0)</f>
      </c>
      <c r="O13" s="17">
        <f>IF(N13=1,0,IF(OR(AND(ISNUMBER(J13),J13&lt;=$C$3),AND(ISNUMBER(L13),L13&lt;=$C$4)),1,0))</f>
      </c>
      <c r="P13" s="17">
        <f>SUM($N$7:N13)</f>
      </c>
    </row>
    <row r="14" ht="32" customHeight="1" spans="1:16" x14ac:dyDescent="0.25">
      <c r="A14" s="12" t="s">
        <v>58</v>
      </c>
      <c r="B14" s="20">
        <f>IFERROR(INDEX(Vehicles!$B$2:$B$50,MATCH($A14,Vehicles!$A$2:$A$50,0)),"(unknown unit)")</f>
      </c>
      <c r="C14" s="13" t="s">
        <v>86</v>
      </c>
      <c r="D14" s="16">
        <v>5000</v>
      </c>
      <c r="E14" s="16">
        <v>180</v>
      </c>
      <c r="F14" s="26">
        <f>IF(COUNTIFS('Service Log'!$B$4:$B$200,$A14,'Service Log'!$E$4:$E$200,$C14)=0,"n/a",SUMPRODUCT(MAX(('Service Log'!$B$4:$B$200=$A14)*('Service Log'!$E$4:$E$200=$C14)*'Service Log'!$A$4:$A$200)))</f>
      </c>
      <c r="G14" s="27">
        <f>IF(COUNTIFS('Service Log'!$B$4:$B$200,$A14,'Service Log'!$E$4:$E$200,$C14)=0,"n/a",SUMPRODUCT(MAX(('Service Log'!$B$4:$B$200=$A14)*('Service Log'!$E$4:$E$200=$C14)*'Service Log'!$D$4:$D$200)))</f>
      </c>
      <c r="H14" s="27">
        <f>IFERROR(INDEX(Vehicles!$G$2:$G$50,MATCH($A14,Vehicles!$A$2:$A$50,0)),"n/a")</f>
      </c>
      <c r="I14" s="27">
        <f>IF(OR(F14="n/a",D14&lt;=0),"n/a",G14+D14)</f>
      </c>
      <c r="J14" s="27">
        <f>IF(OR(I14="n/a",H14="n/a"),"n/a",I14-H14)</f>
      </c>
      <c r="K14" s="26">
        <f>IF(OR(F14="n/a",E14&lt;=0),"n/a",F14+E14)</f>
      </c>
      <c r="L14" s="27">
        <f>IF(K14="n/a","n/a",K14-$C$2)</f>
      </c>
      <c r="M14" s="28">
        <f>IF(F14="n/a","No Record",IF(N14=1,"Overdue",IF(O14=1,"Due Soon","OK")))</f>
      </c>
      <c r="N14" s="17">
        <f>IF(OR(N(J14)&lt;0,N(L14)&lt;0),1,0)</f>
      </c>
      <c r="O14" s="17">
        <f>IF(N14=1,0,IF(OR(AND(ISNUMBER(J14),J14&lt;=$C$3),AND(ISNUMBER(L14),L14&lt;=$C$4)),1,0))</f>
      </c>
      <c r="P14" s="17">
        <f>SUM($N$7:N14)</f>
      </c>
    </row>
    <row r="15" ht="32" customHeight="1" spans="1:16" x14ac:dyDescent="0.25">
      <c r="A15" s="12" t="s">
        <v>58</v>
      </c>
      <c r="B15" s="20">
        <f>IFERROR(INDEX(Vehicles!$B$2:$B$50,MATCH($A15,Vehicles!$A$2:$A$50,0)),"(unknown unit)")</f>
      </c>
      <c r="C15" s="13" t="s">
        <v>83</v>
      </c>
      <c r="D15" s="16">
        <v>15000</v>
      </c>
      <c r="E15" s="16">
        <v>365</v>
      </c>
      <c r="F15" s="26">
        <f>IF(COUNTIFS('Service Log'!$B$4:$B$200,$A15,'Service Log'!$E$4:$E$200,$C15)=0,"n/a",SUMPRODUCT(MAX(('Service Log'!$B$4:$B$200=$A15)*('Service Log'!$E$4:$E$200=$C15)*'Service Log'!$A$4:$A$200)))</f>
      </c>
      <c r="G15" s="27">
        <f>IF(COUNTIFS('Service Log'!$B$4:$B$200,$A15,'Service Log'!$E$4:$E$200,$C15)=0,"n/a",SUMPRODUCT(MAX(('Service Log'!$B$4:$B$200=$A15)*('Service Log'!$E$4:$E$200=$C15)*'Service Log'!$D$4:$D$200)))</f>
      </c>
      <c r="H15" s="27">
        <f>IFERROR(INDEX(Vehicles!$G$2:$G$50,MATCH($A15,Vehicles!$A$2:$A$50,0)),"n/a")</f>
      </c>
      <c r="I15" s="27">
        <f>IF(OR(F15="n/a",D15&lt;=0),"n/a",G15+D15)</f>
      </c>
      <c r="J15" s="27">
        <f>IF(OR(I15="n/a",H15="n/a"),"n/a",I15-H15)</f>
      </c>
      <c r="K15" s="26">
        <f>IF(OR(F15="n/a",E15&lt;=0),"n/a",F15+E15)</f>
      </c>
      <c r="L15" s="27">
        <f>IF(K15="n/a","n/a",K15-$C$2)</f>
      </c>
      <c r="M15" s="28">
        <f>IF(F15="n/a","No Record",IF(N15=1,"Overdue",IF(O15=1,"Due Soon","OK")))</f>
      </c>
      <c r="N15" s="17">
        <f>IF(OR(N(J15)&lt;0,N(L15)&lt;0),1,0)</f>
      </c>
      <c r="O15" s="17">
        <f>IF(N15=1,0,IF(OR(AND(ISNUMBER(J15),J15&lt;=$C$3),AND(ISNUMBER(L15),L15&lt;=$C$4)),1,0))</f>
      </c>
      <c r="P15" s="17">
        <f>SUM($N$7:N15)</f>
      </c>
    </row>
    <row r="16" ht="32" customHeight="1" spans="1:16" x14ac:dyDescent="0.25">
      <c r="A16" s="12" t="s">
        <v>62</v>
      </c>
      <c r="B16" s="20">
        <f>IFERROR(INDEX(Vehicles!$B$2:$B$50,MATCH($A16,Vehicles!$A$2:$A$50,0)),"(unknown unit)")</f>
      </c>
      <c r="C16" s="13" t="s">
        <v>86</v>
      </c>
      <c r="D16" s="16">
        <v>5000</v>
      </c>
      <c r="E16" s="16">
        <v>180</v>
      </c>
      <c r="F16" s="26">
        <f>IF(COUNTIFS('Service Log'!$B$4:$B$200,$A16,'Service Log'!$E$4:$E$200,$C16)=0,"n/a",SUMPRODUCT(MAX(('Service Log'!$B$4:$B$200=$A16)*('Service Log'!$E$4:$E$200=$C16)*'Service Log'!$A$4:$A$200)))</f>
      </c>
      <c r="G16" s="27">
        <f>IF(COUNTIFS('Service Log'!$B$4:$B$200,$A16,'Service Log'!$E$4:$E$200,$C16)=0,"n/a",SUMPRODUCT(MAX(('Service Log'!$B$4:$B$200=$A16)*('Service Log'!$E$4:$E$200=$C16)*'Service Log'!$D$4:$D$200)))</f>
      </c>
      <c r="H16" s="27">
        <f>IFERROR(INDEX(Vehicles!$G$2:$G$50,MATCH($A16,Vehicles!$A$2:$A$50,0)),"n/a")</f>
      </c>
      <c r="I16" s="27">
        <f>IF(OR(F16="n/a",D16&lt;=0),"n/a",G16+D16)</f>
      </c>
      <c r="J16" s="27">
        <f>IF(OR(I16="n/a",H16="n/a"),"n/a",I16-H16)</f>
      </c>
      <c r="K16" s="26">
        <f>IF(OR(F16="n/a",E16&lt;=0),"n/a",F16+E16)</f>
      </c>
      <c r="L16" s="27">
        <f>IF(K16="n/a","n/a",K16-$C$2)</f>
      </c>
      <c r="M16" s="28">
        <f>IF(F16="n/a","No Record",IF(N16=1,"Overdue",IF(O16=1,"Due Soon","OK")))</f>
      </c>
      <c r="N16" s="17">
        <f>IF(OR(N(J16)&lt;0,N(L16)&lt;0),1,0)</f>
      </c>
      <c r="O16" s="17">
        <f>IF(N16=1,0,IF(OR(AND(ISNUMBER(J16),J16&lt;=$C$3),AND(ISNUMBER(L16),L16&lt;=$C$4)),1,0))</f>
      </c>
      <c r="P16" s="17">
        <f>SUM($N$7:N16)</f>
      </c>
    </row>
    <row r="17" ht="32" customHeight="1" spans="1:16" x14ac:dyDescent="0.25">
      <c r="A17" s="12" t="s">
        <v>66</v>
      </c>
      <c r="B17" s="20">
        <f>IFERROR(INDEX(Vehicles!$B$2:$B$50,MATCH($A17,Vehicles!$A$2:$A$50,0)),"(unknown unit)")</f>
      </c>
      <c r="C17" s="13" t="s">
        <v>86</v>
      </c>
      <c r="D17" s="16">
        <v>6000</v>
      </c>
      <c r="E17" s="16">
        <v>180</v>
      </c>
      <c r="F17" s="26">
        <f>IF(COUNTIFS('Service Log'!$B$4:$B$200,$A17,'Service Log'!$E$4:$E$200,$C17)=0,"n/a",SUMPRODUCT(MAX(('Service Log'!$B$4:$B$200=$A17)*('Service Log'!$E$4:$E$200=$C17)*'Service Log'!$A$4:$A$200)))</f>
      </c>
      <c r="G17" s="27">
        <f>IF(COUNTIFS('Service Log'!$B$4:$B$200,$A17,'Service Log'!$E$4:$E$200,$C17)=0,"n/a",SUMPRODUCT(MAX(('Service Log'!$B$4:$B$200=$A17)*('Service Log'!$E$4:$E$200=$C17)*'Service Log'!$D$4:$D$200)))</f>
      </c>
      <c r="H17" s="27">
        <f>IFERROR(INDEX(Vehicles!$G$2:$G$50,MATCH($A17,Vehicles!$A$2:$A$50,0)),"n/a")</f>
      </c>
      <c r="I17" s="27">
        <f>IF(OR(F17="n/a",D17&lt;=0),"n/a",G17+D17)</f>
      </c>
      <c r="J17" s="27">
        <f>IF(OR(I17="n/a",H17="n/a"),"n/a",I17-H17)</f>
      </c>
      <c r="K17" s="26">
        <f>IF(OR(F17="n/a",E17&lt;=0),"n/a",F17+E17)</f>
      </c>
      <c r="L17" s="27">
        <f>IF(K17="n/a","n/a",K17-$C$2)</f>
      </c>
      <c r="M17" s="28">
        <f>IF(F17="n/a","No Record",IF(N17=1,"Overdue",IF(O17=1,"Due Soon","OK")))</f>
      </c>
      <c r="N17" s="17">
        <f>IF(OR(N(J17)&lt;0,N(L17)&lt;0),1,0)</f>
      </c>
      <c r="O17" s="17">
        <f>IF(N17=1,0,IF(OR(AND(ISNUMBER(J17),J17&lt;=$C$3),AND(ISNUMBER(L17),L17&lt;=$C$4)),1,0))</f>
      </c>
      <c r="P17" s="17">
        <f>SUM($N$7:N17)</f>
      </c>
    </row>
    <row r="18" ht="32" customHeight="1" spans="1:16" x14ac:dyDescent="0.25">
      <c r="A18" s="12" t="s">
        <v>66</v>
      </c>
      <c r="B18" s="20">
        <f>IFERROR(INDEX(Vehicles!$B$2:$B$50,MATCH($A18,Vehicles!$A$2:$A$50,0)),"(unknown unit)")</f>
      </c>
      <c r="C18" s="13" t="s">
        <v>80</v>
      </c>
      <c r="D18" s="16">
        <v>0</v>
      </c>
      <c r="E18" s="16">
        <v>365</v>
      </c>
      <c r="F18" s="26">
        <f>IF(COUNTIFS('Service Log'!$B$4:$B$200,$A18,'Service Log'!$E$4:$E$200,$C18)=0,"n/a",SUMPRODUCT(MAX(('Service Log'!$B$4:$B$200=$A18)*('Service Log'!$E$4:$E$200=$C18)*'Service Log'!$A$4:$A$200)))</f>
      </c>
      <c r="G18" s="27">
        <f>IF(COUNTIFS('Service Log'!$B$4:$B$200,$A18,'Service Log'!$E$4:$E$200,$C18)=0,"n/a",SUMPRODUCT(MAX(('Service Log'!$B$4:$B$200=$A18)*('Service Log'!$E$4:$E$200=$C18)*'Service Log'!$D$4:$D$200)))</f>
      </c>
      <c r="H18" s="27">
        <f>IFERROR(INDEX(Vehicles!$G$2:$G$50,MATCH($A18,Vehicles!$A$2:$A$50,0)),"n/a")</f>
      </c>
      <c r="I18" s="27">
        <f>IF(OR(F18="n/a",D18&lt;=0),"n/a",G18+D18)</f>
      </c>
      <c r="J18" s="27">
        <f>IF(OR(I18="n/a",H18="n/a"),"n/a",I18-H18)</f>
      </c>
      <c r="K18" s="26">
        <f>IF(OR(F18="n/a",E18&lt;=0),"n/a",F18+E18)</f>
      </c>
      <c r="L18" s="27">
        <f>IF(K18="n/a","n/a",K18-$C$2)</f>
      </c>
      <c r="M18" s="28">
        <f>IF(F18="n/a","No Record",IF(N18=1,"Overdue",IF(O18=1,"Due Soon","OK")))</f>
      </c>
      <c r="N18" s="17">
        <f>IF(OR(N(J18)&lt;0,N(L18)&lt;0),1,0)</f>
      </c>
      <c r="O18" s="17">
        <f>IF(N18=1,0,IF(OR(AND(ISNUMBER(J18),J18&lt;=$C$3),AND(ISNUMBER(L18),L18&lt;=$C$4)),1,0))</f>
      </c>
      <c r="P18" s="17">
        <f>SUM($N$7:N18)</f>
      </c>
    </row>
  </sheetData>
  <mergeCells count="4">
    <mergeCell ref="A1:O1"/>
    <mergeCell ref="A2:B2"/>
    <mergeCell ref="A3:B3"/>
    <mergeCell ref="A4:B4"/>
  </mergeCells>
  <conditionalFormatting sqref="M7:M18">
    <cfRule type="containsText" dxfId="0" priority="1">
      <formula>NOT(ISERROR(SEARCH("Overdue",M7)))</formula>
    </cfRule>
    <cfRule type="containsText" dxfId="1" priority="2">
      <formula>NOT(ISERROR(SEARCH("Due Soon",M7)))</formula>
    </cfRule>
    <cfRule type="containsText" dxfId="2" priority="3">
      <formula>NOT(ISERROR(SEARCH("OK",M7)))</formula>
    </cfRule>
  </conditionalFormatting>
  <dataValidations count="8">
    <dataValidation type="list" allowBlank="1" showErrorMessage="1" errorTitle="Unknown unit ID" error="Pick a Unit ID listed on the Vehicles sheet, or add the vehicle there first." sqref="A10:A18">
      <formula1>Vehicles!$A$2:$A$50</formula1>
    </dataValidation>
    <dataValidation type="list" allowBlank="1" showErrorMessage="1" errorTitle="Unknown unit ID" error="Pick a Unit ID listed on the Vehicles sheet, or add the vehicle there first." sqref="A7:A18">
      <formula1>Vehicles!$A$2:$A$50</formula1>
    </dataValidation>
    <dataValidation type="list" allowBlank="1" showErrorMessage="1" errorStyle="warning" errorTitle="New service type?" error="Not in the starter list (Oil Change, Tire Rotation, Brake Inspection, Transmission Service, Annual DOT Inspection). Keep the name identical on Service Log and Service Schedule so the schedule can match it." sqref="C10:C18">
      <formula1>"Oil Change,Tire Rotation,Brake Inspection,Transmission Service,Annual DOT Inspection"</formula1>
    </dataValidation>
    <dataValidation type="list" allowBlank="1" showErrorMessage="1" errorStyle="warning" errorTitle="New service type?" error="Not in the starter list (Oil Change, Tire Rotation, Brake Inspection, Transmission Service, Annual DOT Inspection). Keep the name identical on Service Log and Service Schedule so the schedule can match it." sqref="C7:C18">
      <formula1>"Oil Change,Tire Rotation,Brake Inspection,Transmission Service,Annual DOT Inspection"</formula1>
    </dataValidation>
    <dataValidation type="decimal" allowBlank="1" showErrorMessage="1" errorTitle="Invalid mileage interval" error="Enter a number between 0 and 1000000" sqref="D10:D18">
      <formula1>0</formula1>
      <formula2>1000000</formula2>
    </dataValidation>
    <dataValidation type="decimal" allowBlank="1" showErrorMessage="1" errorTitle="Invalid mileage interval" error="Enter a number between 0 and 1000000" sqref="D7:D18">
      <formula1>0</formula1>
      <formula2>1000000</formula2>
    </dataValidation>
    <dataValidation type="decimal" allowBlank="1" showErrorMessage="1" errorTitle="Invalid day interval" error="Enter a number between 0 and 3650" sqref="E10:E18">
      <formula1>0</formula1>
      <formula2>3650</formula2>
    </dataValidation>
    <dataValidation type="decimal" allowBlank="1" showErrorMessage="1" errorTitle="Invalid day interval" error="Enter a number between 0 and 3650" sqref="E7:E18">
      <formula1>0</formula1>
      <formula2>3650</formula2>
    </dataValidation>
  </dataValidations>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3" topLeftCell="A4" activePane="bottomLeft" state="frozen"/>
      <selection pane="bottomLeft"/>
    </sheetView>
  </sheetViews>
  <sheetFormatPr defaultRowHeight="15" outlineLevelRow="0" outlineLevelCol="0" x14ac:dyDescent="55"/>
  <cols>
    <col min="1" max="1" width="13" customWidth="1"/>
    <col min="3" max="3" width="12" customWidth="1"/>
    <col min="4" max="4" width="10" customWidth="1"/>
    <col min="5" max="6" width="12" customWidth="1"/>
    <col min="7" max="8" width="14" customWidth="1"/>
    <col min="9" max="9" width="12" customWidth="1"/>
  </cols>
  <sheetData>
    <row r="1" ht="30" customHeight="1" spans="1:9" x14ac:dyDescent="0.25">
      <c r="A1" s="2" t="s">
        <v>118</v>
      </c>
      <c r="B1" s="2"/>
      <c r="C1" s="2"/>
      <c r="D1" s="2"/>
      <c r="E1" s="2"/>
      <c r="F1" s="2"/>
      <c r="G1" s="2"/>
      <c r="H1" s="2"/>
      <c r="I1" s="2"/>
    </row>
    <row r="3" ht="30" customHeight="1" spans="1:9" x14ac:dyDescent="0.25">
      <c r="A3" s="11" t="s">
        <v>119</v>
      </c>
      <c r="B3" s="11" t="s">
        <v>32</v>
      </c>
      <c r="C3" s="11" t="s">
        <v>73</v>
      </c>
      <c r="D3" s="11" t="s">
        <v>120</v>
      </c>
      <c r="E3" s="11" t="s">
        <v>78</v>
      </c>
      <c r="F3" s="11" t="s">
        <v>121</v>
      </c>
      <c r="G3" s="11" t="s">
        <v>122</v>
      </c>
      <c r="H3" s="11" t="s">
        <v>123</v>
      </c>
      <c r="I3" s="11" t="s">
        <v>124</v>
      </c>
    </row>
    <row r="4" spans="1:9" x14ac:dyDescent="0.25">
      <c r="A4" s="15">
        <v>46271</v>
      </c>
      <c r="B4" s="12" t="s">
        <v>44</v>
      </c>
      <c r="C4" s="16">
        <v>45420</v>
      </c>
      <c r="D4" s="21">
        <v>21</v>
      </c>
      <c r="E4" s="22">
        <v>72.45</v>
      </c>
      <c r="F4" s="23">
        <f>IF(D4&gt;0,E4/D4,0)</f>
      </c>
      <c r="G4" s="17">
        <f>SUMPRODUCT(MAX(($B$4:$B$200=$B4)*($C$4:$C$200&lt;$C4)*$C$4:$C$200))</f>
      </c>
      <c r="H4" s="17">
        <f>IF(G4=0,0,C4-G4)</f>
      </c>
      <c r="I4" s="29">
        <f>IF(AND(N(D4)&gt;0,N(H4)&gt;0),H4/D4,"n/a")</f>
      </c>
    </row>
    <row r="5" spans="1:9" x14ac:dyDescent="0.25">
      <c r="A5" s="15">
        <v>46275</v>
      </c>
      <c r="B5" s="12" t="s">
        <v>49</v>
      </c>
      <c r="C5" s="16">
        <v>60900</v>
      </c>
      <c r="D5" s="21">
        <v>28</v>
      </c>
      <c r="E5" s="22">
        <v>96.6</v>
      </c>
      <c r="F5" s="23">
        <f>IF(D5&gt;0,E5/D5,0)</f>
      </c>
      <c r="G5" s="17">
        <f>SUMPRODUCT(MAX(($B$4:$B$200=$B5)*($C$4:$C$200&lt;$C5)*$C$4:$C$200))</f>
      </c>
      <c r="H5" s="17">
        <f>IF(G5=0,0,C5-G5)</f>
      </c>
      <c r="I5" s="29">
        <f>IF(AND(N(D5)&gt;0,N(H5)&gt;0),H5/D5,"n/a")</f>
      </c>
    </row>
    <row r="6" spans="1:9" x14ac:dyDescent="0.25">
      <c r="A6" s="15">
        <v>46279</v>
      </c>
      <c r="B6" s="12" t="s">
        <v>53</v>
      </c>
      <c r="C6" s="16">
        <v>32610</v>
      </c>
      <c r="D6" s="21">
        <v>22</v>
      </c>
      <c r="E6" s="22">
        <v>75.9</v>
      </c>
      <c r="F6" s="23">
        <f>IF(D6&gt;0,E6/D6,0)</f>
      </c>
      <c r="G6" s="17">
        <f>SUMPRODUCT(MAX(($B$4:$B$200=$B6)*($C$4:$C$200&lt;$C6)*$C$4:$C$200))</f>
      </c>
      <c r="H6" s="17">
        <f>IF(G6=0,0,C6-G6)</f>
      </c>
      <c r="I6" s="29">
        <f>IF(AND(N(D6)&gt;0,N(H6)&gt;0),H6/D6,"n/a")</f>
      </c>
    </row>
    <row r="7" spans="1:9" x14ac:dyDescent="0.25">
      <c r="A7" s="15">
        <v>46285</v>
      </c>
      <c r="B7" s="12" t="s">
        <v>58</v>
      </c>
      <c r="C7" s="16">
        <v>84100</v>
      </c>
      <c r="D7" s="21">
        <v>31</v>
      </c>
      <c r="E7" s="22">
        <v>106.95</v>
      </c>
      <c r="F7" s="23">
        <f>IF(D7&gt;0,E7/D7,0)</f>
      </c>
      <c r="G7" s="17">
        <f>SUMPRODUCT(MAX(($B$4:$B$200=$B7)*($C$4:$C$200&lt;$C7)*$C$4:$C$200))</f>
      </c>
      <c r="H7" s="17">
        <f>IF(G7=0,0,C7-G7)</f>
      </c>
      <c r="I7" s="29">
        <f>IF(AND(N(D7)&gt;0,N(H7)&gt;0),H7/D7,"n/a")</f>
      </c>
    </row>
    <row r="8" spans="1:9" x14ac:dyDescent="0.25">
      <c r="A8" s="15">
        <v>46290</v>
      </c>
      <c r="B8" s="12" t="s">
        <v>62</v>
      </c>
      <c r="C8" s="16">
        <v>37640</v>
      </c>
      <c r="D8" s="21">
        <v>19.5</v>
      </c>
      <c r="E8" s="22">
        <v>67.28</v>
      </c>
      <c r="F8" s="23">
        <f>IF(D8&gt;0,E8/D8,0)</f>
      </c>
      <c r="G8" s="17">
        <f>SUMPRODUCT(MAX(($B$4:$B$200=$B8)*($C$4:$C$200&lt;$C8)*$C$4:$C$200))</f>
      </c>
      <c r="H8" s="17">
        <f>IF(G8=0,0,C8-G8)</f>
      </c>
      <c r="I8" s="29">
        <f>IF(AND(N(D8)&gt;0,N(H8)&gt;0),H8/D8,"n/a")</f>
      </c>
    </row>
    <row r="9" spans="1:9" x14ac:dyDescent="0.25">
      <c r="A9" s="15">
        <v>46291</v>
      </c>
      <c r="B9" s="12" t="s">
        <v>44</v>
      </c>
      <c r="C9" s="16">
        <v>45810</v>
      </c>
      <c r="D9" s="21">
        <v>20.8</v>
      </c>
      <c r="E9" s="22">
        <v>72.59</v>
      </c>
      <c r="F9" s="23">
        <f>IF(D9&gt;0,E9/D9,0)</f>
      </c>
      <c r="G9" s="17">
        <f>SUMPRODUCT(MAX(($B$4:$B$200=$B9)*($C$4:$C$200&lt;$C9)*$C$4:$C$200))</f>
      </c>
      <c r="H9" s="17">
        <f>IF(G9=0,0,C9-G9)</f>
      </c>
      <c r="I9" s="29">
        <f>IF(AND(N(D9)&gt;0,N(H9)&gt;0),H9/D9,"n/a")</f>
      </c>
    </row>
    <row r="10" spans="1:9" x14ac:dyDescent="0.25">
      <c r="A10" s="15">
        <v>46294</v>
      </c>
      <c r="B10" s="12" t="s">
        <v>66</v>
      </c>
      <c r="C10" s="16">
        <v>112000</v>
      </c>
      <c r="D10" s="21">
        <v>58</v>
      </c>
      <c r="E10" s="22">
        <v>231.42</v>
      </c>
      <c r="F10" s="23">
        <f>IF(D10&gt;0,E10/D10,0)</f>
      </c>
      <c r="G10" s="17">
        <f>SUMPRODUCT(MAX(($B$4:$B$200=$B10)*($C$4:$C$200&lt;$C10)*$C$4:$C$200))</f>
      </c>
      <c r="H10" s="17">
        <f>IF(G10=0,0,C10-G10)</f>
      </c>
      <c r="I10" s="29">
        <f>IF(AND(N(D10)&gt;0,N(H10)&gt;0),H10/D10,"n/a")</f>
      </c>
    </row>
    <row r="11" spans="1:9" x14ac:dyDescent="0.25">
      <c r="A11" s="15">
        <v>46296</v>
      </c>
      <c r="B11" s="12" t="s">
        <v>49</v>
      </c>
      <c r="C11" s="16">
        <v>61300</v>
      </c>
      <c r="D11" s="21">
        <v>28.5</v>
      </c>
      <c r="E11" s="22">
        <v>99.47</v>
      </c>
      <c r="F11" s="23">
        <f>IF(D11&gt;0,E11/D11,0)</f>
      </c>
      <c r="G11" s="17">
        <f>SUMPRODUCT(MAX(($B$4:$B$200=$B11)*($C$4:$C$200&lt;$C11)*$C$4:$C$200))</f>
      </c>
      <c r="H11" s="17">
        <f>IF(G11=0,0,C11-G11)</f>
      </c>
      <c r="I11" s="29">
        <f>IF(AND(N(D11)&gt;0,N(H11)&gt;0),H11/D11,"n/a")</f>
      </c>
    </row>
    <row r="12" spans="1:9" x14ac:dyDescent="0.25">
      <c r="A12" s="15">
        <v>46297</v>
      </c>
      <c r="B12" s="12" t="s">
        <v>53</v>
      </c>
      <c r="C12" s="16">
        <v>32980</v>
      </c>
      <c r="D12" s="21">
        <v>22.5</v>
      </c>
      <c r="E12" s="22">
        <v>78.53</v>
      </c>
      <c r="F12" s="23">
        <f>IF(D12&gt;0,E12/D12,0)</f>
      </c>
      <c r="G12" s="17">
        <f>SUMPRODUCT(MAX(($B$4:$B$200=$B12)*($C$4:$C$200&lt;$C12)*$C$4:$C$200))</f>
      </c>
      <c r="H12" s="17">
        <f>IF(G12=0,0,C12-G12)</f>
      </c>
      <c r="I12" s="29">
        <f>IF(AND(N(D12)&gt;0,N(H12)&gt;0),H12/D12,"n/a")</f>
      </c>
    </row>
    <row r="13" spans="1:9" x14ac:dyDescent="0.25">
      <c r="A13" s="15">
        <v>46304</v>
      </c>
      <c r="B13" s="12" t="s">
        <v>58</v>
      </c>
      <c r="C13" s="16">
        <v>84590</v>
      </c>
      <c r="D13" s="21">
        <v>31.5</v>
      </c>
      <c r="E13" s="22">
        <v>109.94</v>
      </c>
      <c r="F13" s="23">
        <f>IF(D13&gt;0,E13/D13,0)</f>
      </c>
      <c r="G13" s="17">
        <f>SUMPRODUCT(MAX(($B$4:$B$200=$B13)*($C$4:$C$200&lt;$C13)*$C$4:$C$200))</f>
      </c>
      <c r="H13" s="17">
        <f>IF(G13=0,0,C13-G13)</f>
      </c>
      <c r="I13" s="29">
        <f>IF(AND(N(D13)&gt;0,N(H13)&gt;0),H13/D13,"n/a")</f>
      </c>
    </row>
    <row r="14" spans="1:9" x14ac:dyDescent="0.25">
      <c r="A14" s="15">
        <v>46305</v>
      </c>
      <c r="B14" s="12" t="s">
        <v>62</v>
      </c>
      <c r="C14" s="16">
        <v>38060</v>
      </c>
      <c r="D14" s="21">
        <v>19.5</v>
      </c>
      <c r="E14" s="22">
        <v>68.06</v>
      </c>
      <c r="F14" s="23">
        <f>IF(D14&gt;0,E14/D14,0)</f>
      </c>
      <c r="G14" s="17">
        <f>SUMPRODUCT(MAX(($B$4:$B$200=$B14)*($C$4:$C$200&lt;$C14)*$C$4:$C$200))</f>
      </c>
      <c r="H14" s="17">
        <f>IF(G14=0,0,C14-G14)</f>
      </c>
      <c r="I14" s="29">
        <f>IF(AND(N(D14)&gt;0,N(H14)&gt;0),H14/D14,"n/a")</f>
      </c>
    </row>
    <row r="15" spans="1:9" x14ac:dyDescent="0.25">
      <c r="A15" s="15">
        <v>46307</v>
      </c>
      <c r="B15" s="12" t="s">
        <v>44</v>
      </c>
      <c r="C15" s="16">
        <v>46190</v>
      </c>
      <c r="D15" s="21">
        <v>21.5</v>
      </c>
      <c r="E15" s="22">
        <v>75.04</v>
      </c>
      <c r="F15" s="23">
        <f>IF(D15&gt;0,E15/D15,0)</f>
      </c>
      <c r="G15" s="17">
        <f>SUMPRODUCT(MAX(($B$4:$B$200=$B15)*($C$4:$C$200&lt;$C15)*$C$4:$C$200))</f>
      </c>
      <c r="H15" s="17">
        <f>IF(G15=0,0,C15-G15)</f>
      </c>
      <c r="I15" s="29">
        <f>IF(AND(N(D15)&gt;0,N(H15)&gt;0),H15/D15,"n/a")</f>
      </c>
    </row>
    <row r="16" spans="1:9" x14ac:dyDescent="0.25">
      <c r="A16" s="15">
        <v>46308</v>
      </c>
      <c r="B16" s="12" t="s">
        <v>49</v>
      </c>
      <c r="C16" s="16">
        <v>61720</v>
      </c>
      <c r="D16" s="21">
        <v>29</v>
      </c>
      <c r="E16" s="22">
        <v>101.21</v>
      </c>
      <c r="F16" s="23">
        <f>IF(D16&gt;0,E16/D16,0)</f>
      </c>
      <c r="G16" s="17">
        <f>SUMPRODUCT(MAX(($B$4:$B$200=$B16)*($C$4:$C$200&lt;$C16)*$C$4:$C$200))</f>
      </c>
      <c r="H16" s="17">
        <f>IF(G16=0,0,C16-G16)</f>
      </c>
      <c r="I16" s="29">
        <f>IF(AND(N(D16)&gt;0,N(H16)&gt;0),H16/D16,"n/a")</f>
      </c>
    </row>
    <row r="17" spans="1:9" x14ac:dyDescent="0.25">
      <c r="A17" s="15">
        <v>46309</v>
      </c>
      <c r="B17" s="12" t="s">
        <v>53</v>
      </c>
      <c r="C17" s="16">
        <v>33350</v>
      </c>
      <c r="D17" s="21">
        <v>23</v>
      </c>
      <c r="E17" s="22">
        <v>80.27</v>
      </c>
      <c r="F17" s="23">
        <f>IF(D17&gt;0,E17/D17,0)</f>
      </c>
      <c r="G17" s="17">
        <f>SUMPRODUCT(MAX(($B$4:$B$200=$B17)*($C$4:$C$200&lt;$C17)*$C$4:$C$200))</f>
      </c>
      <c r="H17" s="17">
        <f>IF(G17=0,0,C17-G17)</f>
      </c>
      <c r="I17" s="29">
        <f>IF(AND(N(D17)&gt;0,N(H17)&gt;0),H17/D17,"n/a")</f>
      </c>
    </row>
    <row r="18" spans="1:9" x14ac:dyDescent="0.25">
      <c r="A18" s="15">
        <v>46309</v>
      </c>
      <c r="B18" s="12" t="s">
        <v>66</v>
      </c>
      <c r="C18" s="16">
        <v>112520</v>
      </c>
      <c r="D18" s="21">
        <v>58</v>
      </c>
      <c r="E18" s="22">
        <v>234.9</v>
      </c>
      <c r="F18" s="23">
        <f>IF(D18&gt;0,E18/D18,0)</f>
      </c>
      <c r="G18" s="17">
        <f>SUMPRODUCT(MAX(($B$4:$B$200=$B18)*($C$4:$C$200&lt;$C18)*$C$4:$C$200))</f>
      </c>
      <c r="H18" s="17">
        <f>IF(G18=0,0,C18-G18)</f>
      </c>
      <c r="I18" s="29">
        <f>IF(AND(N(D18)&gt;0,N(H18)&gt;0),H18/D18,"n/a")</f>
      </c>
    </row>
  </sheetData>
  <mergeCells count="1">
    <mergeCell ref="A1:I1"/>
  </mergeCells>
  <dataValidations count="8">
    <dataValidation type="list" allowBlank="1" showErrorMessage="1" errorTitle="Unknown unit ID" error="Pick a Unit ID listed on the Vehicles sheet, or add the vehicle there first." sqref="B10:B18">
      <formula1>Vehicles!$A$2:$A$50</formula1>
    </dataValidation>
    <dataValidation type="list" allowBlank="1" showErrorMessage="1" errorTitle="Unknown unit ID" error="Pick a Unit ID listed on the Vehicles sheet, or add the vehicle there first." sqref="B4:B18">
      <formula1>Vehicles!$A$2:$A$50</formula1>
    </dataValidation>
    <dataValidation type="decimal" allowBlank="1" showErrorMessage="1" errorTitle="Invalid odometer" error="Enter a number between 0 and 5000000" sqref="C10:C18">
      <formula1>0</formula1>
      <formula2>5000000</formula2>
    </dataValidation>
    <dataValidation type="decimal" allowBlank="1" showErrorMessage="1" errorTitle="Invalid odometer" error="Enter a number between 0 and 5000000" sqref="C4:C18">
      <formula1>0</formula1>
      <formula2>5000000</formula2>
    </dataValidation>
    <dataValidation type="decimal" allowBlank="1" showErrorMessage="1" errorTitle="Invalid gallons" error="Enter a number between 0 and 1000" sqref="D10:D18">
      <formula1>0</formula1>
      <formula2>1000</formula2>
    </dataValidation>
    <dataValidation type="decimal" allowBlank="1" showErrorMessage="1" errorTitle="Invalid gallons" error="Enter a number between 0 and 1000" sqref="D4:D18">
      <formula1>0</formula1>
      <formula2>1000</formula2>
    </dataValidation>
    <dataValidation type="decimal" allowBlank="1" showErrorMessage="1" errorTitle="Invalid cost" error="Enter a number between 0 and 100000" sqref="E10:E18">
      <formula1>0</formula1>
      <formula2>100000</formula2>
    </dataValidation>
    <dataValidation type="decimal" allowBlank="1" showErrorMessage="1" errorTitle="Invalid cost" error="Enter a number between 0 and 100000" sqref="E4:E18">
      <formula1>0</formula1>
      <formula2>100000</formula2>
    </dataValidation>
  </dataValidations>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
  <sheetViews>
    <sheetView workbookViewId="0" showGridLines="0"/>
  </sheetViews>
  <sheetFormatPr defaultRowHeight="15" outlineLevelRow="0" outlineLevelCol="0" x14ac:dyDescent="55"/>
  <cols>
    <col min="1" max="1" width="26" customWidth="1"/>
    <col min="2" max="2" width="30" customWidth="1"/>
    <col min="3" max="3" width="26" customWidth="1"/>
    <col min="4" max="5" width="16" customWidth="1"/>
    <col min="6" max="6" width="18" customWidth="1"/>
  </cols>
  <sheetData>
    <row r="1" spans="1:6" x14ac:dyDescent="0.25">
      <c r="A1" s="1" t="s">
        <v>0</v>
      </c>
      <c r="B1" s="1"/>
      <c r="C1" s="1"/>
      <c r="D1" s="1"/>
      <c r="E1" s="1"/>
      <c r="F1" s="1"/>
    </row>
    <row r="2" spans="1:6" x14ac:dyDescent="0.25">
      <c r="A2" s="2"/>
      <c r="B2" s="2"/>
      <c r="C2" s="2"/>
      <c r="F2" s="2"/>
    </row>
    <row r="3" spans="1:6" x14ac:dyDescent="0.25">
      <c r="A3" s="5" t="s">
        <v>125</v>
      </c>
      <c r="B3" s="30">
        <f>'Service Schedule'!$C$2</f>
      </c>
      <c r="C3" s="2"/>
      <c r="F3" s="2"/>
    </row>
    <row r="4" spans="1:6" x14ac:dyDescent="0.25">
      <c r="A4" s="2"/>
      <c r="B4" s="2"/>
      <c r="C4" s="2"/>
      <c r="F4" s="2"/>
    </row>
    <row r="5" spans="1:6" x14ac:dyDescent="0.25">
      <c r="A5" s="3" t="s">
        <v>126</v>
      </c>
      <c r="B5" s="3"/>
      <c r="C5" s="3"/>
      <c r="D5" s="3"/>
      <c r="E5" s="3"/>
      <c r="F5" s="3"/>
    </row>
    <row r="6" ht="30" customHeight="1" spans="1:6" x14ac:dyDescent="0.25">
      <c r="A6" s="11" t="s">
        <v>127</v>
      </c>
      <c r="B6" s="11" t="s">
        <v>128</v>
      </c>
      <c r="C6" s="11" t="s">
        <v>129</v>
      </c>
      <c r="F6" s="2"/>
    </row>
    <row r="7" spans="1:6" x14ac:dyDescent="0.25">
      <c r="A7" s="5" t="s">
        <v>130</v>
      </c>
      <c r="B7" s="31">
        <f>COUNTA(Vehicles!$A$2:$A$50)</f>
      </c>
      <c r="C7" s="7" t="s">
        <v>131</v>
      </c>
      <c r="D7" s="7"/>
      <c r="E7" s="7"/>
      <c r="F7" s="7"/>
    </row>
    <row r="8" spans="1:6" x14ac:dyDescent="0.25">
      <c r="A8" s="5" t="s">
        <v>132</v>
      </c>
      <c r="B8" s="31">
        <f>SUM('Service Schedule'!$N$7:$N$60)</f>
      </c>
      <c r="C8" s="7" t="s">
        <v>133</v>
      </c>
      <c r="D8" s="7"/>
      <c r="E8" s="7"/>
      <c r="F8" s="7"/>
    </row>
    <row r="9" spans="1:6" x14ac:dyDescent="0.25">
      <c r="A9" s="5" t="s">
        <v>134</v>
      </c>
      <c r="B9" s="31">
        <f>SUM('Service Schedule'!$O$7:$O$60)</f>
      </c>
      <c r="C9" s="7" t="s">
        <v>135</v>
      </c>
      <c r="D9" s="7"/>
      <c r="E9" s="7"/>
      <c r="F9" s="7"/>
    </row>
    <row r="10" spans="1:6" x14ac:dyDescent="0.25">
      <c r="A10" s="5" t="s">
        <v>136</v>
      </c>
      <c r="B10" s="32">
        <f>SUM('Service Log'!$I$4:$I$200)</f>
      </c>
      <c r="C10" s="7" t="s">
        <v>137</v>
      </c>
      <c r="D10" s="7"/>
      <c r="E10" s="7"/>
      <c r="F10" s="7"/>
    </row>
    <row r="11" spans="1:6" x14ac:dyDescent="0.25">
      <c r="A11" s="5" t="s">
        <v>138</v>
      </c>
      <c r="B11" s="31">
        <f>SUM(Vehicles!$H$2:$H$50)</f>
      </c>
      <c r="C11" s="7" t="s">
        <v>139</v>
      </c>
      <c r="D11" s="7"/>
      <c r="E11" s="7"/>
      <c r="F11" s="7"/>
    </row>
    <row r="12" spans="1:6" x14ac:dyDescent="0.25">
      <c r="A12" s="5" t="s">
        <v>140</v>
      </c>
      <c r="B12" s="33">
        <f>IF(B11&gt;0,B10/B11,0)</f>
      </c>
      <c r="C12" s="7" t="s">
        <v>141</v>
      </c>
      <c r="D12" s="7"/>
      <c r="E12" s="7"/>
      <c r="F12" s="7"/>
    </row>
    <row r="13" spans="1:6" x14ac:dyDescent="0.25">
      <c r="A13" s="5" t="s">
        <v>142</v>
      </c>
      <c r="B13" s="34">
        <f>IFERROR(SUMIFS('Fuel Log'!$H$4:$H$200,'Fuel Log'!$H$4:$H$200,"&gt;0",'Fuel Log'!$D$4:$D$200,"&gt;0")/SUMIFS('Fuel Log'!$D$4:$D$200,'Fuel Log'!$H$4:$H$200,"&gt;0",'Fuel Log'!$D$4:$D$200,"&gt;0"),0)</f>
      </c>
      <c r="C13" s="7" t="s">
        <v>143</v>
      </c>
      <c r="D13" s="7"/>
      <c r="E13" s="7"/>
      <c r="F13" s="7"/>
    </row>
    <row r="14" spans="1:6" x14ac:dyDescent="0.25">
      <c r="A14" s="5" t="s">
        <v>144</v>
      </c>
      <c r="B14" s="32">
        <f>SUM('Fuel Log'!$E$4:$E$200)</f>
      </c>
      <c r="C14" s="7" t="s">
        <v>145</v>
      </c>
      <c r="D14" s="7"/>
      <c r="E14" s="7"/>
      <c r="F14" s="7"/>
    </row>
    <row r="15" spans="1:6" x14ac:dyDescent="0.25">
      <c r="A15" s="2"/>
      <c r="B15" s="2"/>
      <c r="C15" s="2"/>
      <c r="F15" s="2"/>
    </row>
    <row r="16" spans="1:6" x14ac:dyDescent="0.25">
      <c r="A16" s="3" t="s">
        <v>146</v>
      </c>
      <c r="B16" s="3"/>
      <c r="C16" s="3"/>
      <c r="D16" s="3"/>
      <c r="E16" s="3"/>
      <c r="F16" s="3"/>
    </row>
    <row r="17" ht="30" customHeight="1" spans="1:6" x14ac:dyDescent="0.25">
      <c r="A17" s="11" t="s">
        <v>147</v>
      </c>
      <c r="B17" s="11" t="s">
        <v>32</v>
      </c>
      <c r="C17" s="11" t="s">
        <v>33</v>
      </c>
      <c r="D17" s="11" t="s">
        <v>40</v>
      </c>
      <c r="E17" s="11" t="s">
        <v>42</v>
      </c>
      <c r="F17" s="2"/>
    </row>
    <row r="18" spans="1:6" x14ac:dyDescent="0.25">
      <c r="A18" s="35">
        <v>1</v>
      </c>
      <c r="B18" s="36">
        <f>IFERROR(INDEX(Vehicles!$A$2:$A$50,MATCH(D18,Vehicles!$I$2:$I$50,0)),"")</f>
      </c>
      <c r="C18" s="37">
        <f>IFERROR(INDEX(Vehicles!$B$2:$B$50,MATCH(D18,Vehicles!$I$2:$I$50,0)),"")</f>
      </c>
      <c r="D18" s="38">
        <f>IFERROR(LARGE(Vehicles!$I$2:$I$50,1),"")</f>
      </c>
      <c r="E18" s="39">
        <f>IFERROR(INDEX(Vehicles!$K$2:$K$50,MATCH(D18,Vehicles!$I$2:$I$50,0)),"")</f>
      </c>
      <c r="F18" s="2"/>
    </row>
    <row r="19" spans="1:6" x14ac:dyDescent="0.25">
      <c r="A19" s="35">
        <v>2</v>
      </c>
      <c r="B19" s="36">
        <f>IFERROR(INDEX(Vehicles!$A$2:$A$50,MATCH(D19,Vehicles!$I$2:$I$50,0)),"")</f>
      </c>
      <c r="C19" s="37">
        <f>IFERROR(INDEX(Vehicles!$B$2:$B$50,MATCH(D19,Vehicles!$I$2:$I$50,0)),"")</f>
      </c>
      <c r="D19" s="38">
        <f>IFERROR(LARGE(Vehicles!$I$2:$I$50,2),"")</f>
      </c>
      <c r="E19" s="39">
        <f>IFERROR(INDEX(Vehicles!$K$2:$K$50,MATCH(D19,Vehicles!$I$2:$I$50,0)),"")</f>
      </c>
      <c r="F19" s="2"/>
    </row>
    <row r="20" spans="1:6" x14ac:dyDescent="0.25">
      <c r="A20" s="35">
        <v>3</v>
      </c>
      <c r="B20" s="36">
        <f>IFERROR(INDEX(Vehicles!$A$2:$A$50,MATCH(D20,Vehicles!$I$2:$I$50,0)),"")</f>
      </c>
      <c r="C20" s="37">
        <f>IFERROR(INDEX(Vehicles!$B$2:$B$50,MATCH(D20,Vehicles!$I$2:$I$50,0)),"")</f>
      </c>
      <c r="D20" s="38">
        <f>IFERROR(LARGE(Vehicles!$I$2:$I$50,3),"")</f>
      </c>
      <c r="E20" s="39">
        <f>IFERROR(INDEX(Vehicles!$K$2:$K$50,MATCH(D20,Vehicles!$I$2:$I$50,0)),"")</f>
      </c>
      <c r="F20" s="2"/>
    </row>
    <row r="21" spans="1:6" x14ac:dyDescent="0.25">
      <c r="A21" s="2"/>
      <c r="B21" s="2"/>
      <c r="C21" s="2"/>
      <c r="F21" s="2"/>
    </row>
    <row r="22" spans="1:6" x14ac:dyDescent="0.25">
      <c r="A22" s="3" t="s">
        <v>148</v>
      </c>
      <c r="B22" s="3"/>
      <c r="C22" s="3"/>
      <c r="D22" s="3"/>
      <c r="E22" s="3"/>
      <c r="F22" s="3"/>
    </row>
    <row r="23" ht="30" customHeight="1" spans="1:6" x14ac:dyDescent="0.25">
      <c r="A23" s="11" t="s">
        <v>32</v>
      </c>
      <c r="B23" s="11" t="s">
        <v>33</v>
      </c>
      <c r="C23" s="11" t="s">
        <v>74</v>
      </c>
      <c r="D23" s="11" t="s">
        <v>111</v>
      </c>
      <c r="E23" s="11" t="s">
        <v>113</v>
      </c>
      <c r="F23" s="2"/>
    </row>
    <row r="24" spans="1:6" x14ac:dyDescent="0.25">
      <c r="A24" s="40">
        <f>IFERROR(INDEX('Service Schedule'!$A$7:$A$60,MATCH(1,'Service Schedule'!$P$7:$P$60,0)),"")</f>
      </c>
      <c r="B24" s="20">
        <f>IFERROR(INDEX('Service Schedule'!$B$7:$B$60,MATCH(1,'Service Schedule'!$P$7:$P$60,0)),"")</f>
      </c>
      <c r="C24" s="20">
        <f>IFERROR(INDEX('Service Schedule'!$C$7:$C$60,MATCH(1,'Service Schedule'!$P$7:$P$60,0)),"")</f>
      </c>
      <c r="D24" s="27">
        <f>IFERROR(INDEX('Service Schedule'!$J$7:$J$60,MATCH(1,'Service Schedule'!$P$7:$P$60,0)),"")</f>
      </c>
      <c r="E24" s="27">
        <f>IFERROR(INDEX('Service Schedule'!$L$7:$L$60,MATCH(1,'Service Schedule'!$P$7:$P$60,0)),"")</f>
      </c>
      <c r="F24" s="2"/>
    </row>
    <row r="25" spans="1:6" x14ac:dyDescent="0.25">
      <c r="A25" s="40">
        <f>IFERROR(INDEX('Service Schedule'!$A$7:$A$60,MATCH(2,'Service Schedule'!$P$7:$P$60,0)),"")</f>
      </c>
      <c r="B25" s="20">
        <f>IFERROR(INDEX('Service Schedule'!$B$7:$B$60,MATCH(2,'Service Schedule'!$P$7:$P$60,0)),"")</f>
      </c>
      <c r="C25" s="20">
        <f>IFERROR(INDEX('Service Schedule'!$C$7:$C$60,MATCH(2,'Service Schedule'!$P$7:$P$60,0)),"")</f>
      </c>
      <c r="D25" s="27">
        <f>IFERROR(INDEX('Service Schedule'!$J$7:$J$60,MATCH(2,'Service Schedule'!$P$7:$P$60,0)),"")</f>
      </c>
      <c r="E25" s="27">
        <f>IFERROR(INDEX('Service Schedule'!$L$7:$L$60,MATCH(2,'Service Schedule'!$P$7:$P$60,0)),"")</f>
      </c>
      <c r="F25" s="2"/>
    </row>
    <row r="26" spans="1:6" x14ac:dyDescent="0.25">
      <c r="A26" s="40">
        <f>IFERROR(INDEX('Service Schedule'!$A$7:$A$60,MATCH(3,'Service Schedule'!$P$7:$P$60,0)),"")</f>
      </c>
      <c r="B26" s="20">
        <f>IFERROR(INDEX('Service Schedule'!$B$7:$B$60,MATCH(3,'Service Schedule'!$P$7:$P$60,0)),"")</f>
      </c>
      <c r="C26" s="20">
        <f>IFERROR(INDEX('Service Schedule'!$C$7:$C$60,MATCH(3,'Service Schedule'!$P$7:$P$60,0)),"")</f>
      </c>
      <c r="D26" s="27">
        <f>IFERROR(INDEX('Service Schedule'!$J$7:$J$60,MATCH(3,'Service Schedule'!$P$7:$P$60,0)),"")</f>
      </c>
      <c r="E26" s="27">
        <f>IFERROR(INDEX('Service Schedule'!$L$7:$L$60,MATCH(3,'Service Schedule'!$P$7:$P$60,0)),"")</f>
      </c>
      <c r="F26" s="2"/>
    </row>
    <row r="27" spans="1:6" x14ac:dyDescent="0.25">
      <c r="A27" s="2"/>
      <c r="B27" s="2"/>
      <c r="C27" s="2"/>
      <c r="F27" s="2"/>
    </row>
    <row r="28" ht="30" customHeight="1" spans="1:6" x14ac:dyDescent="0.25">
      <c r="A28" s="41" t="s">
        <v>31</v>
      </c>
      <c r="B28" s="41"/>
      <c r="C28" s="41"/>
      <c r="D28" s="41"/>
      <c r="E28" s="41"/>
      <c r="F28" s="41"/>
    </row>
  </sheetData>
  <mergeCells count="13">
    <mergeCell ref="A1:F1"/>
    <mergeCell ref="A5:F5"/>
    <mergeCell ref="C7:F7"/>
    <mergeCell ref="C8:F8"/>
    <mergeCell ref="C9:F9"/>
    <mergeCell ref="C10:F10"/>
    <mergeCell ref="C11:F11"/>
    <mergeCell ref="C12:F12"/>
    <mergeCell ref="C13:F13"/>
    <mergeCell ref="C14:F14"/>
    <mergeCell ref="A16:F16"/>
    <mergeCell ref="A22:F22"/>
    <mergeCell ref="A28:F28"/>
  </mergeCells>
  <hyperlinks>
    <hyperlink ref="A28" r:id="rId1"/>
  </hyperlink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Instructions</vt:lpstr>
      <vt:lpstr>Vehicles</vt:lpstr>
      <vt:lpstr>Service Log</vt:lpstr>
      <vt:lpstr>Service Schedule</vt:lpstr>
      <vt:lpstr>Fuel Log</vt:lpstr>
      <vt:lpstr>Dashboard</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Excel.TV</dc:creator>
  <dc:title/>
  <dc:subject/>
  <dc:description/>
  <cp:keywords/>
  <cp:category/>
  <cp:lastModifiedBy>Excel.TV template generator</cp:lastModifiedBy>
  <dcterms:created xsi:type="dcterms:W3CDTF">2026-10-29T17:32:29Z</dcterms:created>
  <dcterms:modified xsi:type="dcterms:W3CDTF">2026-10-29T17:32:29Z</dcterms:modified>
</cp:coreProperties>
</file>