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Requests" state="visible" r:id="rId5"/>
    <sheet sheetId="3" name="Work Orders" state="visible" r:id="rId6"/>
    <sheet sheetId="4" name="Technicians" state="visible" r:id="rId7"/>
    <sheet sheetId="5" name="Monthly Report" state="visible" r:id="rId8"/>
    <sheet sheetId="6" name="Dashboard" state="visible" r:id="rId9"/>
  </sheets>
  <calcPr calcId="171027"/>
</workbook>
</file>

<file path=xl/sharedStrings.xml><?xml version="1.0" encoding="utf-8"?>
<sst xmlns="http://schemas.openxmlformats.org/spreadsheetml/2006/main" count="432" uniqueCount="220">
  <si>
    <t>Work Order Tracker Template</t>
  </si>
  <si>
    <t>Purpose</t>
  </si>
  <si>
    <t>This workbook helps a small maintenance or facilities team take in repair requests, turn them into numbered work orders, track every open order by age, see which technician is carrying what, and report opened-versus-closed work and cost by month. Replace the synthetic sample requests and work orders with your own; the aging buckets, technician workload, monthly report, and dashboard recalculate automatically.</t>
  </si>
  <si>
    <t>Clean-room disclosure</t>
  </si>
  <si>
    <t>Clean-room disclosure: every formula, layout, instruction, and sample figure in this workbook was authored from scratch for Excel.TV. No vendor workbook, gated template, branding, connector behavior, or sample dataset was downloaded, inspected, mirrored, transformed, or adapted in building this file. All data shown is synthetic and for illustration only.</t>
  </si>
  <si>
    <t>What’s in this workbook</t>
  </si>
  <si>
    <t>Requests</t>
  </si>
  <si>
    <t>Intake log: request ID, date received, requester, location, issue, category, and priority. Type the work order number once a request becomes a work order; the sheet shows whether it is still waiting and how long it waited.</t>
  </si>
  <si>
    <t>Work Orders</t>
  </si>
  <si>
    <t>The main log, with a printable work order form on top. Each row holds the opened date, location, issue, category, priority, technician, status, closed date, labor hours, and parts cost. Labor cost, total cost, days to close, age, and aging bucket are calculated.</t>
  </si>
  <si>
    <t>Technicians</t>
  </si>
  <si>
    <t>Your technician list with hourly rates, plus calculated workload: orders assigned, open and closed counts, labor hours, labor cost, and average days to close.</t>
  </si>
  <si>
    <t>Monthly Report</t>
  </si>
  <si>
    <t>Calculated month-by-month view of work opened, work closed, backlog at month end, average days to close, and cost, plus a cost-by-category table.</t>
  </si>
  <si>
    <t>Dashboard</t>
  </si>
  <si>
    <t>The one-page output: open orders, backlog aging in 0-7, 8-30, and 31+ day buckets, open work by priority, and the three oldest open work orders.</t>
  </si>
  <si>
    <t>How to use this workbook</t>
  </si>
  <si>
    <t>1. Open Technicians and replace the sample names and hourly rates with your own team. Keep each name unique because Work Orders uses it to look up the rate, and its Technician dropdown reads this list. If you rename someone, update their name on the existing work orders too; Technicians A2 warns you when a work order names someone who is not on the list.</t>
  </si>
  <si>
    <t>2. Set the as-of date in Work Orders cell B2 to the day you are reviewing (normally today). Every age and aging bucket is measured against that date, so update it each time you review the backlog.</t>
  </si>
  <si>
    <t>3. Log each new job on Work Orders: give it a work order number, enter the opened date, location, issue, category, priority, and technician, and leave Closed blank until the work is done.</t>
  </si>
  <si>
    <t>4. When a job is finished, enter the Closed date and set Status to Closed. Add labor hours and parts cost so the cost columns fill in.</t>
  </si>
  <si>
    <t>5. Use Requests to log incoming requests first if you want to measure how long they wait. Type the work order number in the Work Order # column when you convert one.</t>
  </si>
  <si>
    <t>6. Review Dashboard and Monthly Report to see the backlog by age, who is carrying the work, and how opened and closed work compare month to month.</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</si>
  <si>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</si>
  <si>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</si>
  <si>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</si>
  <si>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</si>
  <si>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</si>
  <si>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</si>
  <si>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The workbook uses Google Sheets-compatible formulas only: SUM, SUMIF, SUMIFS, COUNTIF, COUNTIFS, AVERAGE, AVERAGEIFS, SUMPRODUCT, IF, IFERROR, INDEX, MATCH, DATE, YEAR, MONTH, LARGE, and arithmetic. Dropdown validation for priority, category, status, and technician carries over during import.</t>
  </si>
  <si>
    <t>Limitations</t>
  </si>
  <si>
    <t>This template is a spreadsheet tracker, not a CMMS. It does not assign work automatically, send reminders, store photos, track parts inventory, or enforce sign-off. A work order counts as open until it has a Closed date, so always enter the date when you close one. Aging is measured against the as-of date in Work Orders B2, not today's date, so update it at each review. The as-of date does not rewind the log: the open count always reflects the Closed dates as entered, so for past months read Backlog at Month End on Monthly Report instead. Formula ranges are sized to the sample rows: when you add work orders, requests, or technicians, copy the formulas down and extend the ranges. The three-oldest list on the Dashboard breaks ties by row order. Conditional formatting is visual only and should be reviewed after importing into Google Sheets.</t>
  </si>
  <si>
    <t>★ Free template from Excel.TV — get more free Excel &amp; Google Sheets templates →</t>
  </si>
  <si>
    <t>Log every incoming request here first. When a request becomes a work order, type its work order number in column H. Status, days to convert, and days waiting are calculated against the as-of date on Work Orders.</t>
  </si>
  <si>
    <t>Requests waiting:</t>
  </si>
  <si>
    <t>Request ID</t>
  </si>
  <si>
    <t>Date Received</t>
  </si>
  <si>
    <t>Requester</t>
  </si>
  <si>
    <t>Location / Asset</t>
  </si>
  <si>
    <t>Issue</t>
  </si>
  <si>
    <t>Category</t>
  </si>
  <si>
    <t>Priority</t>
  </si>
  <si>
    <t>Work Order #</t>
  </si>
  <si>
    <t>Status</t>
  </si>
  <si>
    <t>Days to Convert</t>
  </si>
  <si>
    <t>Days Waiting</t>
  </si>
  <si>
    <t>REQ-501</t>
  </si>
  <si>
    <t>Front desk</t>
  </si>
  <si>
    <t>Lobby</t>
  </si>
  <si>
    <t>Entry door will not latch</t>
  </si>
  <si>
    <t>General</t>
  </si>
  <si>
    <t>Normal</t>
  </si>
  <si>
    <t>WO-1001</t>
  </si>
  <si>
    <t>REQ-502</t>
  </si>
  <si>
    <t>Warehouse lead</t>
  </si>
  <si>
    <t>Dock 2</t>
  </si>
  <si>
    <t>Overhead door stops halfway</t>
  </si>
  <si>
    <t>Mechanical</t>
  </si>
  <si>
    <t>High</t>
  </si>
  <si>
    <t>WO-1002</t>
  </si>
  <si>
    <t>REQ-503</t>
  </si>
  <si>
    <t>Office manager</t>
  </si>
  <si>
    <t>Suite 200</t>
  </si>
  <si>
    <t>Room is too warm all afternoon</t>
  </si>
  <si>
    <t>HVAC</t>
  </si>
  <si>
    <t>WO-1003</t>
  </si>
  <si>
    <t>REQ-504</t>
  </si>
  <si>
    <t>Kitchen lead</t>
  </si>
  <si>
    <t>Break room</t>
  </si>
  <si>
    <t>Water on the floor under the sink</t>
  </si>
  <si>
    <t>Plumbing</t>
  </si>
  <si>
    <t>WO-1004</t>
  </si>
  <si>
    <t>REQ-505</t>
  </si>
  <si>
    <t>Brown stain spreading on ceiling</t>
  </si>
  <si>
    <t>WO-1011</t>
  </si>
  <si>
    <t>REQ-506</t>
  </si>
  <si>
    <t>Wall patched but not painted</t>
  </si>
  <si>
    <t>Low</t>
  </si>
  <si>
    <t>WO-1015</t>
  </si>
  <si>
    <t>REQ-507</t>
  </si>
  <si>
    <t>Dishwasher leaves standing water</t>
  </si>
  <si>
    <t>WO-1016</t>
  </si>
  <si>
    <t>REQ-508</t>
  </si>
  <si>
    <t>Dock door stops for no reason</t>
  </si>
  <si>
    <t>Electrical</t>
  </si>
  <si>
    <t>WO-1019</t>
  </si>
  <si>
    <t>REQ-509</t>
  </si>
  <si>
    <t>Lobby is freezing</t>
  </si>
  <si>
    <t>WO-1020</t>
  </si>
  <si>
    <t>REQ-510</t>
  </si>
  <si>
    <t>Aisle 6</t>
  </si>
  <si>
    <t>Aisle sign fell off the rack</t>
  </si>
  <si>
    <t>REQ-511</t>
  </si>
  <si>
    <t>Plant supervisor</t>
  </si>
  <si>
    <t>Line 1</t>
  </si>
  <si>
    <t>Floor drain smells near Line 1</t>
  </si>
  <si>
    <t>REQ-512</t>
  </si>
  <si>
    <t>Lights flicker by the entrance</t>
  </si>
  <si>
    <t>Set the as-of date in B2, then log work orders in the table below. Pick a work order number in the form block to get a printable single-order view. Blue cells are yours to edit; yellow cells are calculated.</t>
  </si>
  <si>
    <t>As-of date:</t>
  </si>
  <si>
    <t>Work order form (pick a number, then print this block)</t>
  </si>
  <si>
    <t>Work order #</t>
  </si>
  <si>
    <t>WO-1017</t>
  </si>
  <si>
    <t>Opened</t>
  </si>
  <si>
    <t>Closed</t>
  </si>
  <si>
    <t>Technician</t>
  </si>
  <si>
    <t>Location / asset</t>
  </si>
  <si>
    <t>Days to close</t>
  </si>
  <si>
    <t>Labor hours</t>
  </si>
  <si>
    <t>Total cost</t>
  </si>
  <si>
    <t>Labor Hours</t>
  </si>
  <si>
    <t>Parts Cost</t>
  </si>
  <si>
    <t>Labor Cost</t>
  </si>
  <si>
    <t>Total Cost</t>
  </si>
  <si>
    <t>Days to Close</t>
  </si>
  <si>
    <t>Age (Days Open)</t>
  </si>
  <si>
    <t>Age Bucket</t>
  </si>
  <si>
    <t>Open Flag</t>
  </si>
  <si>
    <t>Age Key</t>
  </si>
  <si>
    <t>Entry door closer broken</t>
  </si>
  <si>
    <t>K. Mbeki</t>
  </si>
  <si>
    <t>Overhead door motor jams</t>
  </si>
  <si>
    <t>T. Ramirez</t>
  </si>
  <si>
    <t>Thermostat not responding</t>
  </si>
  <si>
    <t>S. Lindqvist</t>
  </si>
  <si>
    <t>Sink leaking under cabinet</t>
  </si>
  <si>
    <t>P. Whitaker</t>
  </si>
  <si>
    <t>WO-1005</t>
  </si>
  <si>
    <t>Line 2</t>
  </si>
  <si>
    <t>Outlet sparking at panel</t>
  </si>
  <si>
    <t>Urgent</t>
  </si>
  <si>
    <t>D. Okafor</t>
  </si>
  <si>
    <t>WO-1006</t>
  </si>
  <si>
    <t>Parking lot</t>
  </si>
  <si>
    <t>Two pole lights out</t>
  </si>
  <si>
    <t>WO-1007</t>
  </si>
  <si>
    <t>Dock 1</t>
  </si>
  <si>
    <t>Dock leveler stuck</t>
  </si>
  <si>
    <t>WO-1008</t>
  </si>
  <si>
    <t>Suite 100</t>
  </si>
  <si>
    <t>AC blowing warm air</t>
  </si>
  <si>
    <t>WO-1009</t>
  </si>
  <si>
    <t>Maintenance</t>
  </si>
  <si>
    <t>Restroom 1</t>
  </si>
  <si>
    <t>Toilet runs constantly</t>
  </si>
  <si>
    <t>WO-1010</t>
  </si>
  <si>
    <t>Conveyor guard loose</t>
  </si>
  <si>
    <t>In Progress</t>
  </si>
  <si>
    <t>Water stain on ceiling tile</t>
  </si>
  <si>
    <t>WO-1012</t>
  </si>
  <si>
    <t>Server closet</t>
  </si>
  <si>
    <t>Closet running hot</t>
  </si>
  <si>
    <t>WO-1013</t>
  </si>
  <si>
    <t>Breaker trips on startup</t>
  </si>
  <si>
    <t>WO-1014</t>
  </si>
  <si>
    <t>Racking aisle 4</t>
  </si>
  <si>
    <t>Damaged rack upright</t>
  </si>
  <si>
    <t>On Hold</t>
  </si>
  <si>
    <t>Paint touch-up after repair</t>
  </si>
  <si>
    <t>Open</t>
  </si>
  <si>
    <t>Dishwasher drains slowly</t>
  </si>
  <si>
    <t>Pump seal weeping</t>
  </si>
  <si>
    <t>WO-1018</t>
  </si>
  <si>
    <t>Replace ballast in six fixtures</t>
  </si>
  <si>
    <t>Door sensor misaligned</t>
  </si>
  <si>
    <t>Office AC running too cold</t>
  </si>
  <si>
    <t>WO-1021</t>
  </si>
  <si>
    <t>Faucet drips</t>
  </si>
  <si>
    <t>WO-1022</t>
  </si>
  <si>
    <t>Belt tracking off</t>
  </si>
  <si>
    <t>WO-1023</t>
  </si>
  <si>
    <t>Dead outlet near desk 14</t>
  </si>
  <si>
    <t>List your technicians and hourly rates in the blue cells. Work Orders multiplies labor hours by the rate here, and the columns to the right show who is carrying the open work.</t>
  </si>
  <si>
    <t>Hourly Rate</t>
  </si>
  <si>
    <t>Orders Assigned</t>
  </si>
  <si>
    <t>Avg Days to Close</t>
  </si>
  <si>
    <t>Share of Open Backlog</t>
  </si>
  <si>
    <t>Unassigned</t>
  </si>
  <si>
    <t>All work orders</t>
  </si>
  <si>
    <t>Opened versus closed work, backlog at month end, average days to close, and cost. Change the first month in B3 to shift the whole table. Work closed in a month is counted by its Closed date.</t>
  </si>
  <si>
    <t>First month:</t>
  </si>
  <si>
    <t>Month</t>
  </si>
  <si>
    <t>Net Change</t>
  </si>
  <si>
    <t>Backlog at Month End</t>
  </si>
  <si>
    <t>Labor Hours (Closed)</t>
  </si>
  <si>
    <t>Cost (Closed)</t>
  </si>
  <si>
    <t>Total</t>
  </si>
  <si>
    <t>Cost by category (all work orders)</t>
  </si>
  <si>
    <t>Orders</t>
  </si>
  <si>
    <t>Still Open</t>
  </si>
  <si>
    <t>Share of Cost</t>
  </si>
  <si>
    <t>All categories</t>
  </si>
  <si>
    <t>Work order summary</t>
  </si>
  <si>
    <t>Metric</t>
  </si>
  <si>
    <t>Result</t>
  </si>
  <si>
    <t>How it is calculated</t>
  </si>
  <si>
    <t>Work orders logged</t>
  </si>
  <si>
    <t>Count of work order numbers on Work Orders.</t>
  </si>
  <si>
    <t>Open work orders</t>
  </si>
  <si>
    <t>Work orders with no Closed date.</t>
  </si>
  <si>
    <t>Open and unassigned</t>
  </si>
  <si>
    <t>Open work orders with no technician.</t>
  </si>
  <si>
    <t>Requests waiting</t>
  </si>
  <si>
    <t>Requests with no work order number yet.</t>
  </si>
  <si>
    <t>Average days to close</t>
  </si>
  <si>
    <t>Average of Closed minus Opened across closed work orders.</t>
  </si>
  <si>
    <t>Total cost to date</t>
  </si>
  <si>
    <t>Labor cost plus parts cost on every work order.</t>
  </si>
  <si>
    <t>Open backlog by age</t>
  </si>
  <si>
    <t>Age bucket</t>
  </si>
  <si>
    <t>Open orders</t>
  </si>
  <si>
    <t>Share of backlog</t>
  </si>
  <si>
    <t>0-7 days</t>
  </si>
  <si>
    <t>8-30 days</t>
  </si>
  <si>
    <t>31+ days</t>
  </si>
  <si>
    <t>Open work by priority</t>
  </si>
  <si>
    <t>Oldest open (days)</t>
  </si>
  <si>
    <t>Three oldest open work orders</t>
  </si>
  <si>
    <t>Work order</t>
  </si>
  <si>
    <t>Age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</si>
</sst>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yyyy-mm-dd"/>
    <numFmt numFmtId="165" formatCode="0.0"/>
    <numFmt numFmtId="166" formatCode="$#,##0"/>
    <numFmt numFmtId="167" formatCode="0.0000"/>
    <numFmt numFmtId="168" formatCode="mmm yyyy"/>
  </numFmts>
  <fonts count="9" x14ac:knownFonts="1">
    <font>
      <color theme="1"/>
      <family val="2"/>
      <scheme val="minor"/>
      <sz val="11"/>
      <name val="Calibri"/>
    </font>
    <font>
      <b/>
      <sz val="16"/>
    </font>
    <font>
      <b/>
      <sz val="12"/>
    </font>
    <font>
      <i/>
    </font>
    <font>
      <b/>
    </font>
    <font>
      <b/>
      <u/>
      <color rgb="FF1155CC"/>
      <sz val="13"/>
    </font>
    <font>
      <b/>
      <color rgb="FFFFFFFF"/>
    </font>
    <font>
      <b/>
      <color rgb="FFC00000"/>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55">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4" fillId="0" borderId="0" xfId="0" applyFont="1"/>
    <xf numFmtId="3" fontId="4" fillId="4" borderId="1" xfId="0" applyNumberFormat="1" applyFont="1" applyFill="1" applyBorder="1" applyAlignment="1">
      <alignment horizontal="center" vertical="center"/>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xf>
    <xf numFmtId="0" fontId="0" fillId="2" borderId="1" xfId="0" applyFill="1" applyBorder="1" applyAlignment="1">
      <alignment horizontal="left" vertical="center" wrapText="1"/>
    </xf>
    <xf numFmtId="0" fontId="4" fillId="3" borderId="1" xfId="0" applyFont="1" applyFill="1" applyBorder="1" applyAlignment="1">
      <alignment horizontal="center" vertical="center"/>
    </xf>
    <xf numFmtId="3" fontId="0" fillId="3" borderId="1" xfId="0" applyNumberFormat="1" applyFill="1" applyBorder="1" applyAlignment="1">
      <alignment horizontal="center" vertical="center"/>
    </xf>
    <xf numFmtId="164" fontId="4" fillId="2" borderId="1" xfId="0" applyNumberFormat="1" applyFont="1" applyFill="1" applyBorder="1" applyAlignment="1">
      <alignment horizontal="center" vertical="center"/>
    </xf>
    <xf numFmtId="0" fontId="7" fillId="0" borderId="0" xfId="0" applyFont="1" applyAlignment="1">
      <alignment vertical="top" wrapText="1"/>
    </xf>
    <xf numFmtId="0" fontId="4" fillId="2" borderId="1" xfId="0" applyFont="1" applyFill="1" applyBorder="1" applyAlignment="1">
      <alignment horizontal="center" vertical="center" wrapText="1"/>
    </xf>
    <xf numFmtId="0" fontId="0" fillId="3" borderId="1" xfId="0" applyFill="1" applyBorder="1" applyAlignment="1">
      <alignment horizontal="left" vertical="center" wrapText="1"/>
    </xf>
    <xf numFmtId="164" fontId="0" fillId="3" borderId="1" xfId="0" applyNumberFormat="1" applyFill="1" applyBorder="1" applyAlignment="1">
      <alignment horizontal="left" vertical="center" wrapText="1"/>
    </xf>
    <xf numFmtId="3" fontId="0" fillId="3" borderId="1" xfId="0" applyNumberFormat="1" applyFill="1" applyBorder="1" applyAlignment="1">
      <alignment horizontal="left" vertical="center" wrapText="1"/>
    </xf>
    <xf numFmtId="165" fontId="0" fillId="3" borderId="1" xfId="0" applyNumberFormat="1" applyFill="1" applyBorder="1" applyAlignment="1">
      <alignment horizontal="left" vertical="center" wrapText="1"/>
    </xf>
    <xf numFmtId="166" fontId="0" fillId="3" borderId="1" xfId="0" applyNumberFormat="1" applyFill="1" applyBorder="1" applyAlignment="1">
      <alignment horizontal="left"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166" fontId="0" fillId="2" borderId="1" xfId="0" applyNumberFormat="1" applyFill="1" applyBorder="1" applyAlignment="1">
      <alignment horizontal="center" vertical="center"/>
    </xf>
    <xf numFmtId="166" fontId="0" fillId="3" borderId="1" xfId="0" applyNumberFormat="1" applyFill="1" applyBorder="1" applyAlignment="1">
      <alignment horizontal="center" vertical="center"/>
    </xf>
    <xf numFmtId="167" fontId="0" fillId="3" borderId="1" xfId="0" applyNumberFormat="1" applyFill="1" applyBorder="1" applyAlignment="1">
      <alignment horizontal="center" vertical="center"/>
    </xf>
    <xf numFmtId="0" fontId="7" fillId="0" borderId="0" xfId="0" applyFont="1"/>
    <xf numFmtId="165" fontId="0" fillId="3" borderId="1" xfId="0" applyNumberFormat="1" applyFill="1" applyBorder="1" applyAlignment="1">
      <alignment horizontal="center" vertical="center"/>
    </xf>
    <xf numFmtId="9" fontId="0" fillId="3" borderId="1" xfId="0" applyNumberFormat="1" applyFill="1" applyBorder="1" applyAlignment="1">
      <alignment horizontal="center" vertical="center"/>
    </xf>
    <xf numFmtId="0" fontId="4" fillId="3" borderId="1" xfId="0" applyFont="1" applyFill="1" applyBorder="1" applyAlignment="1">
      <alignment horizontal="left" vertical="center"/>
    </xf>
    <xf numFmtId="0" fontId="0" fillId="3" borderId="0" xfId="0" applyFill="1"/>
    <xf numFmtId="0" fontId="0" fillId="3" borderId="1" xfId="0" applyFill="1" applyBorder="1" applyAlignment="1">
      <alignment horizontal="center" vertical="center"/>
    </xf>
    <xf numFmtId="0" fontId="4" fillId="4" borderId="1" xfId="0" applyFont="1" applyFill="1" applyBorder="1" applyAlignment="1">
      <alignment horizontal="left" vertical="center"/>
    </xf>
    <xf numFmtId="0" fontId="0" fillId="4" borderId="1" xfId="0" applyFill="1" applyBorder="1" applyAlignment="1">
      <alignment horizontal="center" vertical="center"/>
    </xf>
    <xf numFmtId="165" fontId="4" fillId="4" borderId="1" xfId="0" applyNumberFormat="1" applyFont="1" applyFill="1" applyBorder="1" applyAlignment="1">
      <alignment horizontal="center" vertical="center"/>
    </xf>
    <xf numFmtId="166" fontId="4" fillId="4" borderId="1" xfId="0" applyNumberFormat="1" applyFont="1" applyFill="1" applyBorder="1" applyAlignment="1">
      <alignment horizontal="center" vertical="center"/>
    </xf>
    <xf numFmtId="9" fontId="4" fillId="4" borderId="1" xfId="0" applyNumberFormat="1" applyFont="1" applyFill="1" applyBorder="1" applyAlignment="1">
      <alignment horizontal="center" vertical="center"/>
    </xf>
    <xf numFmtId="168" fontId="4" fillId="2" borderId="1" xfId="0" applyNumberFormat="1" applyFont="1" applyFill="1" applyBorder="1" applyAlignment="1">
      <alignment horizontal="center" vertical="center"/>
    </xf>
    <xf numFmtId="168" fontId="4" fillId="3" borderId="1" xfId="0" applyNumberFormat="1" applyFont="1" applyFill="1" applyBorder="1" applyAlignment="1">
      <alignment horizontal="center" vertical="center"/>
    </xf>
    <xf numFmtId="0" fontId="2" fillId="0" borderId="0" xfId="0" applyFont="1"/>
    <xf numFmtId="3" fontId="4" fillId="4" borderId="1" xfId="0" applyNumberFormat="1" applyFont="1" applyFill="1" applyBorder="1" applyAlignment="1">
      <alignment horizontal="left" vertical="center"/>
    </xf>
    <xf numFmtId="164" fontId="4" fillId="3" borderId="1" xfId="0" applyNumberFormat="1" applyFont="1" applyFill="1" applyBorder="1" applyAlignment="1">
      <alignment horizontal="center" vertical="center" wrapText="1"/>
    </xf>
    <xf numFmtId="3" fontId="4" fillId="4" borderId="1" xfId="0" applyNumberFormat="1" applyFont="1" applyFill="1" applyBorder="1" applyAlignment="1">
      <alignment horizontal="center" vertical="center" wrapText="1"/>
    </xf>
    <xf numFmtId="165" fontId="4" fillId="4" borderId="1" xfId="0" applyNumberFormat="1" applyFont="1" applyFill="1" applyBorder="1" applyAlignment="1">
      <alignment horizontal="center" vertical="center" wrapText="1"/>
    </xf>
    <xf numFmtId="166" fontId="4" fillId="4" borderId="1" xfId="0" applyNumberFormat="1" applyFont="1" applyFill="1" applyBorder="1" applyAlignment="1">
      <alignment horizontal="center" vertical="center" wrapText="1"/>
    </xf>
    <xf numFmtId="3" fontId="0" fillId="4" borderId="1" xfId="0" applyNumberFormat="1" applyFill="1" applyBorder="1" applyAlignment="1">
      <alignment horizontal="center" vertical="center" wrapText="1"/>
    </xf>
    <xf numFmtId="9" fontId="0" fillId="4"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8"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work-order-templat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work-order-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6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45" customHeight="1" spans="1:6" x14ac:dyDescent="0.25">
      <c r="A10" s="5" t="s">
        <v>6</v>
      </c>
      <c r="B10" s="5"/>
      <c r="C10" s="2" t="s">
        <v>7</v>
      </c>
      <c r="D10" s="2"/>
      <c r="E10" s="2"/>
      <c r="F10" s="2"/>
    </row>
    <row r="11" ht="45" customHeight="1" spans="1:6" x14ac:dyDescent="0.25">
      <c r="A11" s="5" t="s">
        <v>8</v>
      </c>
      <c r="B11" s="5"/>
      <c r="C11" s="2" t="s">
        <v>9</v>
      </c>
      <c r="D11" s="2"/>
      <c r="E11" s="2"/>
      <c r="F11" s="2"/>
    </row>
    <row r="12" ht="30" customHeight="1" spans="1:6" x14ac:dyDescent="0.25">
      <c r="A12" s="5" t="s">
        <v>10</v>
      </c>
      <c r="B12" s="5"/>
      <c r="C12" s="2" t="s">
        <v>11</v>
      </c>
      <c r="D12" s="2"/>
      <c r="E12" s="2"/>
      <c r="F12" s="2"/>
    </row>
    <row r="13" ht="30" customHeight="1" spans="1:6" x14ac:dyDescent="0.25">
      <c r="A13" s="5" t="s">
        <v>12</v>
      </c>
      <c r="B13" s="5"/>
      <c r="C13" s="2" t="s">
        <v>13</v>
      </c>
      <c r="D13" s="2"/>
      <c r="E13" s="2"/>
      <c r="F13" s="2"/>
    </row>
    <row r="14" ht="30" customHeight="1" spans="1:6" x14ac:dyDescent="0.25">
      <c r="A14" s="5" t="s">
        <v>14</v>
      </c>
      <c r="B14" s="5"/>
      <c r="C14" s="2" t="s">
        <v>15</v>
      </c>
      <c r="D14" s="2"/>
      <c r="E14" s="2"/>
      <c r="F14" s="2"/>
    </row>
    <row r="15" spans="1:6" x14ac:dyDescent="0.25">
      <c r="A15" s="2"/>
      <c r="B15" s="2"/>
      <c r="C15" s="2"/>
      <c r="D15" s="2"/>
      <c r="E15" s="2"/>
      <c r="F15" s="2"/>
    </row>
    <row r="16" spans="1:6" x14ac:dyDescent="0.25">
      <c r="A16" s="3" t="s">
        <v>16</v>
      </c>
      <c r="B16" s="3"/>
      <c r="C16" s="3"/>
      <c r="D16" s="3"/>
      <c r="E16" s="3"/>
      <c r="F16" s="3"/>
    </row>
    <row r="17" ht="45" customHeight="1" spans="1:6" x14ac:dyDescent="0.25">
      <c r="A17" s="2" t="s">
        <v>17</v>
      </c>
      <c r="B17" s="2"/>
      <c r="C17" s="2"/>
      <c r="D17" s="2"/>
      <c r="E17" s="2"/>
      <c r="F17" s="2"/>
    </row>
    <row r="18" ht="30" customHeight="1" spans="1:6" x14ac:dyDescent="0.25">
      <c r="A18" s="2" t="s">
        <v>18</v>
      </c>
      <c r="B18" s="2"/>
      <c r="C18" s="2"/>
      <c r="D18" s="2"/>
      <c r="E18" s="2"/>
      <c r="F18" s="2"/>
    </row>
    <row r="19" ht="30" customHeight="1" spans="1:6" x14ac:dyDescent="0.25">
      <c r="A19" s="2" t="s">
        <v>19</v>
      </c>
      <c r="B19" s="2"/>
      <c r="C19" s="2"/>
      <c r="D19" s="2"/>
      <c r="E19" s="2"/>
      <c r="F19" s="2"/>
    </row>
    <row r="20" ht="30" customHeight="1" spans="1:6" x14ac:dyDescent="0.25">
      <c r="A20" s="2" t="s">
        <v>20</v>
      </c>
      <c r="B20" s="2"/>
      <c r="C20" s="2"/>
      <c r="D20" s="2"/>
      <c r="E20" s="2"/>
      <c r="F20" s="2"/>
    </row>
    <row r="21" ht="30" customHeight="1" spans="1:6" x14ac:dyDescent="0.25">
      <c r="A21" s="2" t="s">
        <v>21</v>
      </c>
      <c r="B21" s="2"/>
      <c r="C21" s="2"/>
      <c r="D21" s="2"/>
      <c r="E21" s="2"/>
      <c r="F21" s="2"/>
    </row>
    <row r="22" ht="30" customHeight="1" spans="1:6" x14ac:dyDescent="0.25">
      <c r="A22" s="2" t="s">
        <v>22</v>
      </c>
      <c r="B22" s="2"/>
      <c r="C22" s="2"/>
      <c r="D22" s="2"/>
      <c r="E22" s="2"/>
      <c r="F22" s="2"/>
    </row>
    <row r="23" spans="1:6" x14ac:dyDescent="0.25">
      <c r="A23" s="2"/>
      <c r="B23" s="2"/>
      <c r="C23" s="2"/>
      <c r="D23" s="2"/>
      <c r="E23" s="2"/>
      <c r="F23" s="2"/>
    </row>
    <row r="24" spans="1:6" x14ac:dyDescent="0.25">
      <c r="A24" s="3" t="s">
        <v>23</v>
      </c>
      <c r="B24" s="3"/>
      <c r="C24" s="3"/>
      <c r="D24" s="3"/>
      <c r="E24" s="3"/>
      <c r="F24" s="3"/>
    </row>
    <row r="25" spans="1:6" x14ac:dyDescent="0.25">
      <c r="A25" s="5" t="s">
        <v>23</v>
      </c>
      <c r="B25" s="2"/>
      <c r="C25" s="2"/>
      <c r="D25" s="2"/>
      <c r="E25" s="2"/>
      <c r="F25" s="2"/>
    </row>
    <row r="26" spans="1:6" x14ac:dyDescent="0.25">
      <c r="A26" s="6" t="s">
        <v>24</v>
      </c>
      <c r="B26" s="7" t="s">
        <v>25</v>
      </c>
      <c r="C26" s="2"/>
      <c r="D26" s="2"/>
      <c r="E26" s="2"/>
      <c r="F26" s="2"/>
    </row>
    <row r="27" spans="1:6" x14ac:dyDescent="0.25">
      <c r="A27" s="8" t="s">
        <v>24</v>
      </c>
      <c r="B27" s="7" t="s">
        <v>26</v>
      </c>
      <c r="C27" s="2"/>
      <c r="D27" s="2"/>
      <c r="E27" s="2"/>
      <c r="F27" s="2"/>
    </row>
    <row r="28" spans="1:6" x14ac:dyDescent="0.25">
      <c r="A28" s="9" t="s">
        <v>24</v>
      </c>
      <c r="B28" s="7" t="s">
        <v>27</v>
      </c>
      <c r="C28" s="2"/>
      <c r="D28" s="2"/>
      <c r="E28" s="2"/>
      <c r="F28" s="2"/>
    </row>
    <row r="29" spans="1:6" x14ac:dyDescent="0.25">
      <c r="A29" s="2"/>
      <c r="B29" s="2"/>
      <c r="C29" s="2"/>
      <c r="D29" s="2"/>
      <c r="E29" s="2"/>
      <c r="F29" s="2"/>
    </row>
    <row r="30" spans="1:6" x14ac:dyDescent="0.25">
      <c r="A30" s="3" t="s">
        <v>28</v>
      </c>
      <c r="B30" s="3"/>
      <c r="C30" s="3"/>
      <c r="D30" s="3"/>
      <c r="E30" s="3"/>
      <c r="F30" s="3"/>
    </row>
    <row r="31" ht="60" customHeight="1" spans="1:6" x14ac:dyDescent="0.25">
      <c r="A31" s="2" t="s">
        <v>29</v>
      </c>
      <c r="B31" s="2"/>
      <c r="C31" s="2"/>
      <c r="D31" s="2"/>
      <c r="E31" s="2"/>
      <c r="F31" s="2"/>
    </row>
    <row r="32" spans="1:6" x14ac:dyDescent="0.25">
      <c r="A32" s="2"/>
      <c r="B32" s="2"/>
      <c r="C32" s="2"/>
      <c r="D32" s="2"/>
      <c r="E32" s="2"/>
      <c r="F32" s="2"/>
    </row>
    <row r="33" spans="1:6" x14ac:dyDescent="0.25">
      <c r="A33" s="3" t="s">
        <v>30</v>
      </c>
      <c r="B33" s="3"/>
      <c r="C33" s="3"/>
      <c r="D33" s="3"/>
      <c r="E33" s="3"/>
      <c r="F33" s="3"/>
    </row>
    <row r="34" ht="105" customHeight="1" spans="1:6" x14ac:dyDescent="0.25">
      <c r="A34" s="2" t="s">
        <v>31</v>
      </c>
      <c r="B34" s="2"/>
      <c r="C34" s="2"/>
      <c r="D34" s="2"/>
      <c r="E34" s="2"/>
      <c r="F34" s="2"/>
    </row>
    <row r="35" spans="1:6" x14ac:dyDescent="0.25">
      <c r="A35" s="2"/>
      <c r="B35" s="2"/>
      <c r="C35" s="2"/>
      <c r="D35" s="2"/>
      <c r="E35" s="2"/>
      <c r="F35" s="2"/>
    </row>
    <row r="36" spans="1:6" x14ac:dyDescent="0.25">
      <c r="A36" s="2"/>
      <c r="B36" s="2"/>
      <c r="C36" s="2"/>
      <c r="D36" s="2"/>
      <c r="E36" s="2"/>
      <c r="F36" s="2"/>
    </row>
    <row r="37" ht="32" customHeight="1" spans="1:6" x14ac:dyDescent="0.25">
      <c r="A37" s="10" t="s">
        <v>32</v>
      </c>
      <c r="B37" s="10"/>
      <c r="C37" s="10"/>
      <c r="D37" s="10"/>
      <c r="E37" s="10"/>
      <c r="F37" s="10"/>
    </row>
  </sheetData>
  <mergeCells count="29">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4:B14"/>
    <mergeCell ref="C14:F14"/>
    <mergeCell ref="A16:F16"/>
    <mergeCell ref="A17:F17"/>
    <mergeCell ref="A18:F18"/>
    <mergeCell ref="A19:F19"/>
    <mergeCell ref="A20:F20"/>
    <mergeCell ref="A21:F21"/>
    <mergeCell ref="A22:F22"/>
    <mergeCell ref="A24:F24"/>
    <mergeCell ref="A30:F30"/>
    <mergeCell ref="A31:F31"/>
    <mergeCell ref="A33:F33"/>
    <mergeCell ref="A34:F34"/>
    <mergeCell ref="A37:F37"/>
  </mergeCells>
  <hyperlinks>
    <hyperlink ref="A37"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pane ySplit="4" topLeftCell="A5" activePane="bottomLeft" state="frozen"/>
      <selection pane="bottomLeft"/>
    </sheetView>
  </sheetViews>
  <sheetFormatPr defaultRowHeight="15" outlineLevelRow="0" outlineLevelCol="0" x14ac:dyDescent="55"/>
  <cols>
    <col min="1" max="1" width="18" customWidth="1"/>
    <col min="2" max="2" width="14" customWidth="1"/>
    <col min="3" max="4" width="18" customWidth="1"/>
    <col min="5" max="5" width="34" customWidth="1"/>
    <col min="6" max="6" width="13" customWidth="1"/>
    <col min="7" max="7" width="11" customWidth="1"/>
    <col min="8" max="8" width="14" customWidth="1"/>
    <col min="9" max="9" width="16" customWidth="1"/>
    <col min="10" max="11" width="13" customWidth="1"/>
  </cols>
  <sheetData>
    <row r="1" ht="30" customHeight="1" spans="1:11" x14ac:dyDescent="0.25">
      <c r="A1" s="2" t="s">
        <v>33</v>
      </c>
      <c r="B1" s="2"/>
      <c r="C1" s="2"/>
      <c r="D1" s="2"/>
      <c r="E1" s="2"/>
      <c r="F1" s="2"/>
      <c r="G1" s="2"/>
      <c r="H1" s="2"/>
      <c r="I1" s="2"/>
      <c r="J1" s="2"/>
      <c r="K1" s="2"/>
    </row>
    <row r="2" spans="1:5" x14ac:dyDescent="0.25">
      <c r="A2" s="11" t="s">
        <v>34</v>
      </c>
      <c r="B2" s="12">
        <f>COUNTIF($I$5:$I$16,"Waiting")</f>
      </c>
      <c r="C2" s="2"/>
      <c r="D2" s="2"/>
      <c r="E2" s="2"/>
    </row>
    <row r="3" spans="3:5" x14ac:dyDescent="0.25">
      <c r="C3" s="2"/>
      <c r="D3" s="2"/>
      <c r="E3" s="2"/>
    </row>
    <row r="4" ht="30" customHeight="1" spans="1:11" x14ac:dyDescent="0.25">
      <c r="A4" s="13" t="s">
        <v>35</v>
      </c>
      <c r="B4" s="13" t="s">
        <v>36</v>
      </c>
      <c r="C4" s="13" t="s">
        <v>37</v>
      </c>
      <c r="D4" s="13" t="s">
        <v>38</v>
      </c>
      <c r="E4" s="13" t="s">
        <v>39</v>
      </c>
      <c r="F4" s="13" t="s">
        <v>40</v>
      </c>
      <c r="G4" s="13" t="s">
        <v>41</v>
      </c>
      <c r="H4" s="13" t="s">
        <v>42</v>
      </c>
      <c r="I4" s="13" t="s">
        <v>43</v>
      </c>
      <c r="J4" s="13" t="s">
        <v>44</v>
      </c>
      <c r="K4" s="13" t="s">
        <v>45</v>
      </c>
    </row>
    <row r="5" spans="1:11" x14ac:dyDescent="0.25">
      <c r="A5" s="14" t="s">
        <v>46</v>
      </c>
      <c r="B5" s="15">
        <v>46237</v>
      </c>
      <c r="C5" s="16" t="s">
        <v>47</v>
      </c>
      <c r="D5" s="16" t="s">
        <v>48</v>
      </c>
      <c r="E5" s="16" t="s">
        <v>49</v>
      </c>
      <c r="F5" s="14" t="s">
        <v>50</v>
      </c>
      <c r="G5" s="14" t="s">
        <v>51</v>
      </c>
      <c r="H5" s="14" t="s">
        <v>52</v>
      </c>
      <c r="I5" s="17">
        <f>IF(A5="","",IF(H5="","Waiting",IF(COUNTIF('Work Orders'!$A$14:$A$36,H5)=0,"WO # not found","Converted")))</f>
      </c>
      <c r="J5" s="18">
        <f>IF(A5="","",IF(I5="Converted",INDEX('Work Orders'!$B$14:$B$36,MATCH(H5,'Work Orders'!$A$14:$A$36,0))-B5,"-"))</f>
      </c>
      <c r="K5" s="18">
        <f>IF(A5="","",IF(I5="Waiting",'Work Orders'!$B$2-B5,"-"))</f>
      </c>
    </row>
    <row r="6" spans="1:11" x14ac:dyDescent="0.25">
      <c r="A6" s="14" t="s">
        <v>53</v>
      </c>
      <c r="B6" s="15">
        <v>46240</v>
      </c>
      <c r="C6" s="16" t="s">
        <v>54</v>
      </c>
      <c r="D6" s="16" t="s">
        <v>55</v>
      </c>
      <c r="E6" s="16" t="s">
        <v>56</v>
      </c>
      <c r="F6" s="14" t="s">
        <v>57</v>
      </c>
      <c r="G6" s="14" t="s">
        <v>58</v>
      </c>
      <c r="H6" s="14" t="s">
        <v>59</v>
      </c>
      <c r="I6" s="17">
        <f>IF(A6="","",IF(H6="","Waiting",IF(COUNTIF('Work Orders'!$A$14:$A$36,H6)=0,"WO # not found","Converted")))</f>
      </c>
      <c r="J6" s="18">
        <f>IF(A6="","",IF(I6="Converted",INDEX('Work Orders'!$B$14:$B$36,MATCH(H6,'Work Orders'!$A$14:$A$36,0))-B6,"-"))</f>
      </c>
      <c r="K6" s="18">
        <f>IF(A6="","",IF(I6="Waiting",'Work Orders'!$B$2-B6,"-"))</f>
      </c>
    </row>
    <row r="7" spans="1:11" x14ac:dyDescent="0.25">
      <c r="A7" s="14" t="s">
        <v>60</v>
      </c>
      <c r="B7" s="15">
        <v>46245</v>
      </c>
      <c r="C7" s="16" t="s">
        <v>61</v>
      </c>
      <c r="D7" s="16" t="s">
        <v>62</v>
      </c>
      <c r="E7" s="16" t="s">
        <v>63</v>
      </c>
      <c r="F7" s="14" t="s">
        <v>64</v>
      </c>
      <c r="G7" s="14" t="s">
        <v>51</v>
      </c>
      <c r="H7" s="14" t="s">
        <v>65</v>
      </c>
      <c r="I7" s="17">
        <f>IF(A7="","",IF(H7="","Waiting",IF(COUNTIF('Work Orders'!$A$14:$A$36,H7)=0,"WO # not found","Converted")))</f>
      </c>
      <c r="J7" s="18">
        <f>IF(A7="","",IF(I7="Converted",INDEX('Work Orders'!$B$14:$B$36,MATCH(H7,'Work Orders'!$A$14:$A$36,0))-B7,"-"))</f>
      </c>
      <c r="K7" s="18">
        <f>IF(A7="","",IF(I7="Waiting",'Work Orders'!$B$2-B7,"-"))</f>
      </c>
    </row>
    <row r="8" spans="1:11" x14ac:dyDescent="0.25">
      <c r="A8" s="14" t="s">
        <v>66</v>
      </c>
      <c r="B8" s="15">
        <v>46248</v>
      </c>
      <c r="C8" s="16" t="s">
        <v>67</v>
      </c>
      <c r="D8" s="16" t="s">
        <v>68</v>
      </c>
      <c r="E8" s="16" t="s">
        <v>69</v>
      </c>
      <c r="F8" s="14" t="s">
        <v>70</v>
      </c>
      <c r="G8" s="14" t="s">
        <v>58</v>
      </c>
      <c r="H8" s="14" t="s">
        <v>71</v>
      </c>
      <c r="I8" s="17">
        <f>IF(A8="","",IF(H8="","Waiting",IF(COUNTIF('Work Orders'!$A$14:$A$36,H8)=0,"WO # not found","Converted")))</f>
      </c>
      <c r="J8" s="18">
        <f>IF(A8="","",IF(I8="Converted",INDEX('Work Orders'!$B$14:$B$36,MATCH(H8,'Work Orders'!$A$14:$A$36,0))-B8,"-"))</f>
      </c>
      <c r="K8" s="18">
        <f>IF(A8="","",IF(I8="Waiting",'Work Orders'!$B$2-B8,"-"))</f>
      </c>
    </row>
    <row r="9" spans="1:11" x14ac:dyDescent="0.25">
      <c r="A9" s="14" t="s">
        <v>72</v>
      </c>
      <c r="B9" s="15">
        <v>46275</v>
      </c>
      <c r="C9" s="16" t="s">
        <v>47</v>
      </c>
      <c r="D9" s="16" t="s">
        <v>48</v>
      </c>
      <c r="E9" s="16" t="s">
        <v>73</v>
      </c>
      <c r="F9" s="14" t="s">
        <v>70</v>
      </c>
      <c r="G9" s="14" t="s">
        <v>51</v>
      </c>
      <c r="H9" s="14" t="s">
        <v>74</v>
      </c>
      <c r="I9" s="17">
        <f>IF(A9="","",IF(H9="","Waiting",IF(COUNTIF('Work Orders'!$A$14:$A$36,H9)=0,"WO # not found","Converted")))</f>
      </c>
      <c r="J9" s="18">
        <f>IF(A9="","",IF(I9="Converted",INDEX('Work Orders'!$B$14:$B$36,MATCH(H9,'Work Orders'!$A$14:$A$36,0))-B9,"-"))</f>
      </c>
      <c r="K9" s="18">
        <f>IF(A9="","",IF(I9="Waiting",'Work Orders'!$B$2-B9,"-"))</f>
      </c>
    </row>
    <row r="10" spans="1:11" x14ac:dyDescent="0.25">
      <c r="A10" s="14" t="s">
        <v>75</v>
      </c>
      <c r="B10" s="15">
        <v>46288</v>
      </c>
      <c r="C10" s="16" t="s">
        <v>47</v>
      </c>
      <c r="D10" s="16" t="s">
        <v>62</v>
      </c>
      <c r="E10" s="16" t="s">
        <v>76</v>
      </c>
      <c r="F10" s="14" t="s">
        <v>50</v>
      </c>
      <c r="G10" s="14" t="s">
        <v>77</v>
      </c>
      <c r="H10" s="14" t="s">
        <v>78</v>
      </c>
      <c r="I10" s="17">
        <f>IF(A10="","",IF(H10="","Waiting",IF(COUNTIF('Work Orders'!$A$14:$A$36,H10)=0,"WO # not found","Converted")))</f>
      </c>
      <c r="J10" s="18">
        <f>IF(A10="","",IF(I10="Converted",INDEX('Work Orders'!$B$14:$B$36,MATCH(H10,'Work Orders'!$A$14:$A$36,0))-B10,"-"))</f>
      </c>
      <c r="K10" s="18">
        <f>IF(A10="","",IF(I10="Waiting",'Work Orders'!$B$2-B10,"-"))</f>
      </c>
    </row>
    <row r="11" spans="1:11" x14ac:dyDescent="0.25">
      <c r="A11" s="14" t="s">
        <v>79</v>
      </c>
      <c r="B11" s="15">
        <v>46293</v>
      </c>
      <c r="C11" s="16" t="s">
        <v>67</v>
      </c>
      <c r="D11" s="16" t="s">
        <v>68</v>
      </c>
      <c r="E11" s="16" t="s">
        <v>80</v>
      </c>
      <c r="F11" s="14" t="s">
        <v>70</v>
      </c>
      <c r="G11" s="14" t="s">
        <v>51</v>
      </c>
      <c r="H11" s="14" t="s">
        <v>81</v>
      </c>
      <c r="I11" s="17">
        <f>IF(A11="","",IF(H11="","Waiting",IF(COUNTIF('Work Orders'!$A$14:$A$36,H11)=0,"WO # not found","Converted")))</f>
      </c>
      <c r="J11" s="18">
        <f>IF(A11="","",IF(I11="Converted",INDEX('Work Orders'!$B$14:$B$36,MATCH(H11,'Work Orders'!$A$14:$A$36,0))-B11,"-"))</f>
      </c>
      <c r="K11" s="18">
        <f>IF(A11="","",IF(I11="Waiting",'Work Orders'!$B$2-B11,"-"))</f>
      </c>
    </row>
    <row r="12" spans="1:11" x14ac:dyDescent="0.25">
      <c r="A12" s="14" t="s">
        <v>82</v>
      </c>
      <c r="B12" s="15">
        <v>46302</v>
      </c>
      <c r="C12" s="16" t="s">
        <v>54</v>
      </c>
      <c r="D12" s="16" t="s">
        <v>55</v>
      </c>
      <c r="E12" s="16" t="s">
        <v>83</v>
      </c>
      <c r="F12" s="14" t="s">
        <v>84</v>
      </c>
      <c r="G12" s="14" t="s">
        <v>51</v>
      </c>
      <c r="H12" s="14" t="s">
        <v>85</v>
      </c>
      <c r="I12" s="17">
        <f>IF(A12="","",IF(H12="","Waiting",IF(COUNTIF('Work Orders'!$A$14:$A$36,H12)=0,"WO # not found","Converted")))</f>
      </c>
      <c r="J12" s="18">
        <f>IF(A12="","",IF(I12="Converted",INDEX('Work Orders'!$B$14:$B$36,MATCH(H12,'Work Orders'!$A$14:$A$36,0))-B12,"-"))</f>
      </c>
      <c r="K12" s="18">
        <f>IF(A12="","",IF(I12="Waiting",'Work Orders'!$B$2-B12,"-"))</f>
      </c>
    </row>
    <row r="13" spans="1:11" x14ac:dyDescent="0.25">
      <c r="A13" s="14" t="s">
        <v>86</v>
      </c>
      <c r="B13" s="15">
        <v>46307</v>
      </c>
      <c r="C13" s="16" t="s">
        <v>47</v>
      </c>
      <c r="D13" s="16" t="s">
        <v>48</v>
      </c>
      <c r="E13" s="16" t="s">
        <v>87</v>
      </c>
      <c r="F13" s="14" t="s">
        <v>64</v>
      </c>
      <c r="G13" s="14" t="s">
        <v>77</v>
      </c>
      <c r="H13" s="14" t="s">
        <v>88</v>
      </c>
      <c r="I13" s="17">
        <f>IF(A13="","",IF(H13="","Waiting",IF(COUNTIF('Work Orders'!$A$14:$A$36,H13)=0,"WO # not found","Converted")))</f>
      </c>
      <c r="J13" s="18">
        <f>IF(A13="","",IF(I13="Converted",INDEX('Work Orders'!$B$14:$B$36,MATCH(H13,'Work Orders'!$A$14:$A$36,0))-B13,"-"))</f>
      </c>
      <c r="K13" s="18">
        <f>IF(A13="","",IF(I13="Waiting",'Work Orders'!$B$2-B13,"-"))</f>
      </c>
    </row>
    <row r="14" spans="1:11" x14ac:dyDescent="0.25">
      <c r="A14" s="14" t="s">
        <v>89</v>
      </c>
      <c r="B14" s="15">
        <v>46309</v>
      </c>
      <c r="C14" s="16" t="s">
        <v>54</v>
      </c>
      <c r="D14" s="16" t="s">
        <v>90</v>
      </c>
      <c r="E14" s="16" t="s">
        <v>91</v>
      </c>
      <c r="F14" s="14" t="s">
        <v>50</v>
      </c>
      <c r="G14" s="14" t="s">
        <v>77</v>
      </c>
      <c r="H14" s="14"/>
      <c r="I14" s="17">
        <f>IF(A14="","",IF(H14="","Waiting",IF(COUNTIF('Work Orders'!$A$14:$A$36,H14)=0,"WO # not found","Converted")))</f>
      </c>
      <c r="J14" s="18">
        <f>IF(A14="","",IF(I14="Converted",INDEX('Work Orders'!$B$14:$B$36,MATCH(H14,'Work Orders'!$A$14:$A$36,0))-B14,"-"))</f>
      </c>
      <c r="K14" s="18">
        <f>IF(A14="","",IF(I14="Waiting",'Work Orders'!$B$2-B14,"-"))</f>
      </c>
    </row>
    <row r="15" spans="1:11" x14ac:dyDescent="0.25">
      <c r="A15" s="14" t="s">
        <v>92</v>
      </c>
      <c r="B15" s="15">
        <v>46312</v>
      </c>
      <c r="C15" s="16" t="s">
        <v>93</v>
      </c>
      <c r="D15" s="16" t="s">
        <v>94</v>
      </c>
      <c r="E15" s="16" t="s">
        <v>95</v>
      </c>
      <c r="F15" s="14" t="s">
        <v>70</v>
      </c>
      <c r="G15" s="14" t="s">
        <v>51</v>
      </c>
      <c r="H15" s="14"/>
      <c r="I15" s="17">
        <f>IF(A15="","",IF(H15="","Waiting",IF(COUNTIF('Work Orders'!$A$14:$A$36,H15)=0,"WO # not found","Converted")))</f>
      </c>
      <c r="J15" s="18">
        <f>IF(A15="","",IF(I15="Converted",INDEX('Work Orders'!$B$14:$B$36,MATCH(H15,'Work Orders'!$A$14:$A$36,0))-B15,"-"))</f>
      </c>
      <c r="K15" s="18">
        <f>IF(A15="","",IF(I15="Waiting",'Work Orders'!$B$2-B15,"-"))</f>
      </c>
    </row>
    <row r="16" spans="1:11" x14ac:dyDescent="0.25">
      <c r="A16" s="14" t="s">
        <v>96</v>
      </c>
      <c r="B16" s="15">
        <v>46314</v>
      </c>
      <c r="C16" s="16" t="s">
        <v>47</v>
      </c>
      <c r="D16" s="16" t="s">
        <v>48</v>
      </c>
      <c r="E16" s="16" t="s">
        <v>97</v>
      </c>
      <c r="F16" s="14" t="s">
        <v>84</v>
      </c>
      <c r="G16" s="14" t="s">
        <v>51</v>
      </c>
      <c r="H16" s="14"/>
      <c r="I16" s="17">
        <f>IF(A16="","",IF(H16="","Waiting",IF(COUNTIF('Work Orders'!$A$14:$A$36,H16)=0,"WO # not found","Converted")))</f>
      </c>
      <c r="J16" s="18">
        <f>IF(A16="","",IF(I16="Converted",INDEX('Work Orders'!$B$14:$B$36,MATCH(H16,'Work Orders'!$A$14:$A$36,0))-B16,"-"))</f>
      </c>
      <c r="K16" s="18">
        <f>IF(A16="","",IF(I16="Waiting",'Work Orders'!$B$2-B16,"-"))</f>
      </c>
    </row>
  </sheetData>
  <mergeCells count="1">
    <mergeCell ref="A1:K1"/>
  </mergeCells>
  <dataValidations count="4">
    <dataValidation type="list" showErrorMessage="1" errorTitle="Invalid category" error="Choose one of: Electrical, Plumbing, HVAC, Mechanical, General" sqref="F10:F16">
      <formula1>"Electrical,Plumbing,HVAC,Mechanical,General"</formula1>
    </dataValidation>
    <dataValidation type="list" showErrorMessage="1" errorTitle="Invalid category" error="Choose one of: Electrical, Plumbing, HVAC, Mechanical, General" sqref="F5:F16">
      <formula1>"Electrical,Plumbing,HVAC,Mechanical,General"</formula1>
    </dataValidation>
    <dataValidation type="list" showErrorMessage="1" errorTitle="Invalid priority" error="Choose one of: Urgent, High, Normal, Low" sqref="G10:G16">
      <formula1>"Urgent,High,Normal,Low"</formula1>
    </dataValidation>
    <dataValidation type="list" showErrorMessage="1" errorTitle="Invalid priority" error="Choose one of: Urgent, High, Normal, Low" sqref="G5:G16">
      <formula1>"Urgent,High,Normal,Low"</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FormatPr defaultRowHeight="15" outlineLevelRow="0" outlineLevelCol="0" x14ac:dyDescent="55"/>
  <cols>
    <col min="1" max="1" width="15" customWidth="1"/>
    <col min="2" max="2" width="13" customWidth="1"/>
    <col min="3" max="4" width="17" customWidth="1"/>
    <col min="5" max="5" width="30" customWidth="1"/>
    <col min="6" max="6" width="12" customWidth="1"/>
    <col min="7" max="7" width="10" customWidth="1"/>
    <col min="8" max="8" width="14" customWidth="1"/>
    <col min="9" max="9" width="12" customWidth="1"/>
    <col min="10" max="10" width="13" customWidth="1"/>
    <col min="12" max="15" width="10" customWidth="1"/>
    <col min="16" max="16" width="11" customWidth="1"/>
    <col min="17" max="17" width="12" customWidth="1"/>
    <col min="18" max="18" width="8" customWidth="1"/>
    <col min="19" max="19" width="10" hidden="1" customWidth="1"/>
  </cols>
  <sheetData>
    <row r="1" ht="30" customHeight="1" spans="1:17" x14ac:dyDescent="0.25">
      <c r="A1" s="2" t="s">
        <v>98</v>
      </c>
      <c r="B1" s="2"/>
      <c r="C1" s="2"/>
      <c r="D1" s="2"/>
      <c r="E1" s="2"/>
      <c r="F1" s="2"/>
      <c r="G1" s="2"/>
      <c r="H1" s="2"/>
      <c r="I1" s="2"/>
      <c r="J1" s="2"/>
      <c r="K1" s="2"/>
      <c r="L1" s="2"/>
      <c r="M1" s="2"/>
      <c r="N1" s="2"/>
      <c r="O1" s="2"/>
      <c r="P1" s="2"/>
      <c r="Q1" s="2"/>
    </row>
    <row r="2" spans="1:5" x14ac:dyDescent="0.25">
      <c r="A2" s="11" t="s">
        <v>99</v>
      </c>
      <c r="B2" s="19">
        <v>46315</v>
      </c>
      <c r="C2" s="20">
        <f>IF($B$2&lt;MAX('Work Orders'!$B$14:$B$36),"Check: the as-of date is earlier than the newest Opened date, so some ages are negative. Set it to the day you are reviewing."," ")</f>
      </c>
      <c r="D2" s="2"/>
      <c r="E2" s="2"/>
    </row>
    <row r="3" spans="3:5" x14ac:dyDescent="0.25">
      <c r="C3" s="2"/>
      <c r="D3" s="2"/>
      <c r="E3" s="2"/>
    </row>
    <row r="4" spans="1:7" x14ac:dyDescent="0.25">
      <c r="A4" s="3" t="s">
        <v>100</v>
      </c>
      <c r="B4" s="3"/>
      <c r="C4" s="3"/>
      <c r="D4" s="3"/>
      <c r="E4" s="3"/>
      <c r="F4" s="3"/>
      <c r="G4" s="3"/>
    </row>
    <row r="5" spans="1:7" x14ac:dyDescent="0.25">
      <c r="A5" s="11" t="s">
        <v>101</v>
      </c>
      <c r="B5" s="21" t="s">
        <v>102</v>
      </c>
      <c r="C5" s="21"/>
      <c r="D5" s="5" t="s">
        <v>43</v>
      </c>
      <c r="E5" s="22">
        <f>IFERROR(IF(INDEX('Work Orders'!$I$14:$I$36,MATCH($B$5,'Work Orders'!$A$14:$A$36,0))="","",INDEX('Work Orders'!$I$14:$I$36,MATCH($B$5,'Work Orders'!$A$14:$A$36,0))),"")</f>
      </c>
      <c r="F5" s="22"/>
      <c r="G5" s="22"/>
    </row>
    <row r="6" spans="1:7" x14ac:dyDescent="0.25">
      <c r="A6" s="11" t="s">
        <v>103</v>
      </c>
      <c r="B6" s="23">
        <f>IFERROR(IF(INDEX('Work Orders'!$B$14:$B$36,MATCH($B$5,'Work Orders'!$A$14:$A$36,0))="","",INDEX('Work Orders'!$B$14:$B$36,MATCH($B$5,'Work Orders'!$A$14:$A$36,0))),"")</f>
      </c>
      <c r="C6" s="23"/>
      <c r="D6" s="5" t="s">
        <v>104</v>
      </c>
      <c r="E6" s="23">
        <f>IFERROR(IF(INDEX('Work Orders'!$J$14:$J$36,MATCH($B$5,'Work Orders'!$A$14:$A$36,0))="","",INDEX('Work Orders'!$J$14:$J$36,MATCH($B$5,'Work Orders'!$A$14:$A$36,0))),"")</f>
      </c>
      <c r="F6" s="23"/>
      <c r="G6" s="23"/>
    </row>
    <row r="7" spans="1:7" x14ac:dyDescent="0.25">
      <c r="A7" s="11" t="s">
        <v>37</v>
      </c>
      <c r="B7" s="22">
        <f>IFERROR(IF(INDEX('Work Orders'!$C$14:$C$36,MATCH($B$5,'Work Orders'!$A$14:$A$36,0))="","",INDEX('Work Orders'!$C$14:$C$36,MATCH($B$5,'Work Orders'!$A$14:$A$36,0))),"")</f>
      </c>
      <c r="C7" s="22"/>
      <c r="D7" s="5" t="s">
        <v>105</v>
      </c>
      <c r="E7" s="22">
        <f>IFERROR(IF(INDEX('Work Orders'!$H$14:$H$36,MATCH($B$5,'Work Orders'!$A$14:$A$36,0))="","",INDEX('Work Orders'!$H$14:$H$36,MATCH($B$5,'Work Orders'!$A$14:$A$36,0))),"")</f>
      </c>
      <c r="F7" s="22"/>
      <c r="G7" s="22"/>
    </row>
    <row r="8" spans="1:7" x14ac:dyDescent="0.25">
      <c r="A8" s="11" t="s">
        <v>106</v>
      </c>
      <c r="B8" s="22">
        <f>IFERROR(IF(INDEX('Work Orders'!$D$14:$D$36,MATCH($B$5,'Work Orders'!$A$14:$A$36,0))="","",INDEX('Work Orders'!$D$14:$D$36,MATCH($B$5,'Work Orders'!$A$14:$A$36,0))),"")</f>
      </c>
      <c r="C8" s="22"/>
      <c r="D8" s="5" t="s">
        <v>40</v>
      </c>
      <c r="E8" s="22">
        <f>IFERROR(IF(INDEX('Work Orders'!$F$14:$F$36,MATCH($B$5,'Work Orders'!$A$14:$A$36,0))="","",INDEX('Work Orders'!$F$14:$F$36,MATCH($B$5,'Work Orders'!$A$14:$A$36,0))),"")</f>
      </c>
      <c r="F8" s="22"/>
      <c r="G8" s="22"/>
    </row>
    <row r="9" spans="1:7" x14ac:dyDescent="0.25">
      <c r="A9" s="11" t="s">
        <v>41</v>
      </c>
      <c r="B9" s="22">
        <f>IFERROR(IF(INDEX('Work Orders'!$G$14:$G$36,MATCH($B$5,'Work Orders'!$A$14:$A$36,0))="","",INDEX('Work Orders'!$G$14:$G$36,MATCH($B$5,'Work Orders'!$A$14:$A$36,0))),"")</f>
      </c>
      <c r="C9" s="22"/>
      <c r="D9" s="5" t="s">
        <v>107</v>
      </c>
      <c r="E9" s="24">
        <f>IFERROR(IF(INDEX('Work Orders'!$O$14:$O$36,MATCH($B$5,'Work Orders'!$A$14:$A$36,0))="","",INDEX('Work Orders'!$O$14:$O$36,MATCH($B$5,'Work Orders'!$A$14:$A$36,0))),"")</f>
      </c>
      <c r="F9" s="24"/>
      <c r="G9" s="24"/>
    </row>
    <row r="10" spans="1:7" x14ac:dyDescent="0.25">
      <c r="A10" s="11" t="s">
        <v>39</v>
      </c>
      <c r="B10" s="22">
        <f>IFERROR(IF(INDEX('Work Orders'!$E$14:$E$36,MATCH($B$5,'Work Orders'!$A$14:$A$36,0))="","",INDEX('Work Orders'!$E$14:$E$36,MATCH($B$5,'Work Orders'!$A$14:$A$36,0))),"")</f>
      </c>
      <c r="C10" s="22"/>
      <c r="D10" s="22"/>
      <c r="E10" s="22"/>
      <c r="F10" s="22"/>
      <c r="G10" s="22"/>
    </row>
    <row r="11" spans="1:7" x14ac:dyDescent="0.25">
      <c r="A11" s="11" t="s">
        <v>108</v>
      </c>
      <c r="B11" s="25">
        <f>IFERROR(IF(INDEX('Work Orders'!$K$14:$K$36,MATCH($B$5,'Work Orders'!$A$14:$A$36,0))="","",INDEX('Work Orders'!$K$14:$K$36,MATCH($B$5,'Work Orders'!$A$14:$A$36,0))),"")</f>
      </c>
      <c r="C11" s="25"/>
      <c r="D11" s="5" t="s">
        <v>109</v>
      </c>
      <c r="E11" s="26">
        <f>IFERROR(IF(INDEX('Work Orders'!$N$14:$N$36,MATCH($B$5,'Work Orders'!$A$14:$A$36,0))="","",INDEX('Work Orders'!$N$14:$N$36,MATCH($B$5,'Work Orders'!$A$14:$A$36,0))),"")</f>
      </c>
      <c r="F11" s="26"/>
      <c r="G11" s="26"/>
    </row>
    <row r="12" spans="3:5" x14ac:dyDescent="0.25">
      <c r="C12" s="2"/>
      <c r="D12" s="2"/>
      <c r="E12" s="2"/>
    </row>
    <row r="13" ht="30" customHeight="1" spans="1:19" x14ac:dyDescent="0.25">
      <c r="A13" s="13" t="s">
        <v>42</v>
      </c>
      <c r="B13" s="13" t="s">
        <v>103</v>
      </c>
      <c r="C13" s="13" t="s">
        <v>37</v>
      </c>
      <c r="D13" s="13" t="s">
        <v>38</v>
      </c>
      <c r="E13" s="13" t="s">
        <v>39</v>
      </c>
      <c r="F13" s="13" t="s">
        <v>40</v>
      </c>
      <c r="G13" s="13" t="s">
        <v>41</v>
      </c>
      <c r="H13" s="13" t="s">
        <v>105</v>
      </c>
      <c r="I13" s="13" t="s">
        <v>43</v>
      </c>
      <c r="J13" s="13" t="s">
        <v>104</v>
      </c>
      <c r="K13" s="13" t="s">
        <v>110</v>
      </c>
      <c r="L13" s="13" t="s">
        <v>111</v>
      </c>
      <c r="M13" s="13" t="s">
        <v>112</v>
      </c>
      <c r="N13" s="13" t="s">
        <v>113</v>
      </c>
      <c r="O13" s="13" t="s">
        <v>114</v>
      </c>
      <c r="P13" s="13" t="s">
        <v>115</v>
      </c>
      <c r="Q13" s="13" t="s">
        <v>116</v>
      </c>
      <c r="R13" s="13" t="s">
        <v>117</v>
      </c>
      <c r="S13" s="13" t="s">
        <v>118</v>
      </c>
    </row>
    <row r="14" spans="1:19" x14ac:dyDescent="0.25">
      <c r="A14" s="14" t="s">
        <v>52</v>
      </c>
      <c r="B14" s="15">
        <v>46238</v>
      </c>
      <c r="C14" s="16" t="s">
        <v>47</v>
      </c>
      <c r="D14" s="16" t="s">
        <v>48</v>
      </c>
      <c r="E14" s="16" t="s">
        <v>119</v>
      </c>
      <c r="F14" s="14" t="s">
        <v>50</v>
      </c>
      <c r="G14" s="14" t="s">
        <v>51</v>
      </c>
      <c r="H14" s="27" t="s">
        <v>120</v>
      </c>
      <c r="I14" s="14" t="s">
        <v>104</v>
      </c>
      <c r="J14" s="15">
        <v>46240</v>
      </c>
      <c r="K14" s="28">
        <v>1.5</v>
      </c>
      <c r="L14" s="29">
        <v>35</v>
      </c>
      <c r="M14" s="30">
        <f>IF(A14="","",IFERROR(K14*INDEX(Technicians!$B$4:$B$8,MATCH(H14,Technicians!$A$4:$A$8,0)),0))</f>
      </c>
      <c r="N14" s="30">
        <f>IF(A14="","",L14+M14)</f>
      </c>
      <c r="O14" s="18">
        <f>IF(A14="","",IF(J14="","-",J14-B14))</f>
      </c>
      <c r="P14" s="18">
        <f>IF(A14="","",IF(R14=1,$B$2-B14,"-"))</f>
      </c>
      <c r="Q14" s="18">
        <f>IF(A14="","",IF(R14=0,"-",IF(P14&lt;=7,"0-7 days",IF(P14&lt;=30,"8-30 days","31+ days"))))</f>
      </c>
      <c r="R14" s="18">
        <f>IF(A14="","",IF(J14="",1,0))</f>
      </c>
      <c r="S14" s="31">
        <f>IF(A14="","",IF(R14=1,P14+ROW()/10000,"-"))</f>
      </c>
    </row>
    <row r="15" spans="1:19" x14ac:dyDescent="0.25">
      <c r="A15" s="14" t="s">
        <v>59</v>
      </c>
      <c r="B15" s="15">
        <v>46241</v>
      </c>
      <c r="C15" s="16" t="s">
        <v>54</v>
      </c>
      <c r="D15" s="16" t="s">
        <v>55</v>
      </c>
      <c r="E15" s="16" t="s">
        <v>121</v>
      </c>
      <c r="F15" s="14" t="s">
        <v>57</v>
      </c>
      <c r="G15" s="14" t="s">
        <v>58</v>
      </c>
      <c r="H15" s="27" t="s">
        <v>122</v>
      </c>
      <c r="I15" s="14" t="s">
        <v>104</v>
      </c>
      <c r="J15" s="15">
        <v>46245</v>
      </c>
      <c r="K15" s="28">
        <v>4</v>
      </c>
      <c r="L15" s="29">
        <v>220</v>
      </c>
      <c r="M15" s="30">
        <f>IF(A15="","",IFERROR(K15*INDEX(Technicians!$B$4:$B$8,MATCH(H15,Technicians!$A$4:$A$8,0)),0))</f>
      </c>
      <c r="N15" s="30">
        <f>IF(A15="","",L15+M15)</f>
      </c>
      <c r="O15" s="18">
        <f>IF(A15="","",IF(J15="","-",J15-B15))</f>
      </c>
      <c r="P15" s="18">
        <f>IF(A15="","",IF(R15=1,$B$2-B15,"-"))</f>
      </c>
      <c r="Q15" s="18">
        <f>IF(A15="","",IF(R15=0,"-",IF(P15&lt;=7,"0-7 days",IF(P15&lt;=30,"8-30 days","31+ days"))))</f>
      </c>
      <c r="R15" s="18">
        <f>IF(A15="","",IF(J15="",1,0))</f>
      </c>
      <c r="S15" s="31">
        <f>IF(A15="","",IF(R15=1,P15+ROW()/10000,"-"))</f>
      </c>
    </row>
    <row r="16" spans="1:19" x14ac:dyDescent="0.25">
      <c r="A16" s="14" t="s">
        <v>65</v>
      </c>
      <c r="B16" s="15">
        <v>46246</v>
      </c>
      <c r="C16" s="16" t="s">
        <v>61</v>
      </c>
      <c r="D16" s="16" t="s">
        <v>62</v>
      </c>
      <c r="E16" s="16" t="s">
        <v>123</v>
      </c>
      <c r="F16" s="14" t="s">
        <v>64</v>
      </c>
      <c r="G16" s="14" t="s">
        <v>51</v>
      </c>
      <c r="H16" s="27" t="s">
        <v>124</v>
      </c>
      <c r="I16" s="14" t="s">
        <v>104</v>
      </c>
      <c r="J16" s="15">
        <v>46248</v>
      </c>
      <c r="K16" s="28">
        <v>2</v>
      </c>
      <c r="L16" s="29">
        <v>60</v>
      </c>
      <c r="M16" s="30">
        <f>IF(A16="","",IFERROR(K16*INDEX(Technicians!$B$4:$B$8,MATCH(H16,Technicians!$A$4:$A$8,0)),0))</f>
      </c>
      <c r="N16" s="30">
        <f>IF(A16="","",L16+M16)</f>
      </c>
      <c r="O16" s="18">
        <f>IF(A16="","",IF(J16="","-",J16-B16))</f>
      </c>
      <c r="P16" s="18">
        <f>IF(A16="","",IF(R16=1,$B$2-B16,"-"))</f>
      </c>
      <c r="Q16" s="18">
        <f>IF(A16="","",IF(R16=0,"-",IF(P16&lt;=7,"0-7 days",IF(P16&lt;=30,"8-30 days","31+ days"))))</f>
      </c>
      <c r="R16" s="18">
        <f>IF(A16="","",IF(J16="",1,0))</f>
      </c>
      <c r="S16" s="31">
        <f>IF(A16="","",IF(R16=1,P16+ROW()/10000,"-"))</f>
      </c>
    </row>
    <row r="17" spans="1:19" x14ac:dyDescent="0.25">
      <c r="A17" s="14" t="s">
        <v>71</v>
      </c>
      <c r="B17" s="15">
        <v>46249</v>
      </c>
      <c r="C17" s="16" t="s">
        <v>67</v>
      </c>
      <c r="D17" s="16" t="s">
        <v>68</v>
      </c>
      <c r="E17" s="16" t="s">
        <v>125</v>
      </c>
      <c r="F17" s="14" t="s">
        <v>70</v>
      </c>
      <c r="G17" s="14" t="s">
        <v>58</v>
      </c>
      <c r="H17" s="27" t="s">
        <v>126</v>
      </c>
      <c r="I17" s="14" t="s">
        <v>104</v>
      </c>
      <c r="J17" s="15">
        <v>46250</v>
      </c>
      <c r="K17" s="28">
        <v>2.5</v>
      </c>
      <c r="L17" s="29">
        <v>48</v>
      </c>
      <c r="M17" s="30">
        <f>IF(A17="","",IFERROR(K17*INDEX(Technicians!$B$4:$B$8,MATCH(H17,Technicians!$A$4:$A$8,0)),0))</f>
      </c>
      <c r="N17" s="30">
        <f>IF(A17="","",L17+M17)</f>
      </c>
      <c r="O17" s="18">
        <f>IF(A17="","",IF(J17="","-",J17-B17))</f>
      </c>
      <c r="P17" s="18">
        <f>IF(A17="","",IF(R17=1,$B$2-B17,"-"))</f>
      </c>
      <c r="Q17" s="18">
        <f>IF(A17="","",IF(R17=0,"-",IF(P17&lt;=7,"0-7 days",IF(P17&lt;=30,"8-30 days","31+ days"))))</f>
      </c>
      <c r="R17" s="18">
        <f>IF(A17="","",IF(J17="",1,0))</f>
      </c>
      <c r="S17" s="31">
        <f>IF(A17="","",IF(R17=1,P17+ROW()/10000,"-"))</f>
      </c>
    </row>
    <row r="18" spans="1:19" x14ac:dyDescent="0.25">
      <c r="A18" s="14" t="s">
        <v>127</v>
      </c>
      <c r="B18" s="15">
        <v>46253</v>
      </c>
      <c r="C18" s="16" t="s">
        <v>93</v>
      </c>
      <c r="D18" s="16" t="s">
        <v>128</v>
      </c>
      <c r="E18" s="16" t="s">
        <v>129</v>
      </c>
      <c r="F18" s="14" t="s">
        <v>84</v>
      </c>
      <c r="G18" s="14" t="s">
        <v>130</v>
      </c>
      <c r="H18" s="27" t="s">
        <v>131</v>
      </c>
      <c r="I18" s="14" t="s">
        <v>104</v>
      </c>
      <c r="J18" s="15">
        <v>46253</v>
      </c>
      <c r="K18" s="28">
        <v>3</v>
      </c>
      <c r="L18" s="29">
        <v>130</v>
      </c>
      <c r="M18" s="30">
        <f>IF(A18="","",IFERROR(K18*INDEX(Technicians!$B$4:$B$8,MATCH(H18,Technicians!$A$4:$A$8,0)),0))</f>
      </c>
      <c r="N18" s="30">
        <f>IF(A18="","",L18+M18)</f>
      </c>
      <c r="O18" s="18">
        <f>IF(A18="","",IF(J18="","-",J18-B18))</f>
      </c>
      <c r="P18" s="18">
        <f>IF(A18="","",IF(R18=1,$B$2-B18,"-"))</f>
      </c>
      <c r="Q18" s="18">
        <f>IF(A18="","",IF(R18=0,"-",IF(P18&lt;=7,"0-7 days",IF(P18&lt;=30,"8-30 days","31+ days"))))</f>
      </c>
      <c r="R18" s="18">
        <f>IF(A18="","",IF(J18="",1,0))</f>
      </c>
      <c r="S18" s="31">
        <f>IF(A18="","",IF(R18=1,P18+ROW()/10000,"-"))</f>
      </c>
    </row>
    <row r="19" spans="1:19" x14ac:dyDescent="0.25">
      <c r="A19" s="14" t="s">
        <v>132</v>
      </c>
      <c r="B19" s="15">
        <v>46260</v>
      </c>
      <c r="C19" s="16" t="s">
        <v>47</v>
      </c>
      <c r="D19" s="16" t="s">
        <v>133</v>
      </c>
      <c r="E19" s="16" t="s">
        <v>134</v>
      </c>
      <c r="F19" s="14" t="s">
        <v>84</v>
      </c>
      <c r="G19" s="14" t="s">
        <v>77</v>
      </c>
      <c r="H19" s="27" t="s">
        <v>131</v>
      </c>
      <c r="I19" s="14" t="s">
        <v>104</v>
      </c>
      <c r="J19" s="15">
        <v>46274</v>
      </c>
      <c r="K19" s="28">
        <v>1.5</v>
      </c>
      <c r="L19" s="29">
        <v>42</v>
      </c>
      <c r="M19" s="30">
        <f>IF(A19="","",IFERROR(K19*INDEX(Technicians!$B$4:$B$8,MATCH(H19,Technicians!$A$4:$A$8,0)),0))</f>
      </c>
      <c r="N19" s="30">
        <f>IF(A19="","",L19+M19)</f>
      </c>
      <c r="O19" s="18">
        <f>IF(A19="","",IF(J19="","-",J19-B19))</f>
      </c>
      <c r="P19" s="18">
        <f>IF(A19="","",IF(R19=1,$B$2-B19,"-"))</f>
      </c>
      <c r="Q19" s="18">
        <f>IF(A19="","",IF(R19=0,"-",IF(P19&lt;=7,"0-7 days",IF(P19&lt;=30,"8-30 days","31+ days"))))</f>
      </c>
      <c r="R19" s="18">
        <f>IF(A19="","",IF(J19="",1,0))</f>
      </c>
      <c r="S19" s="31">
        <f>IF(A19="","",IF(R19=1,P19+ROW()/10000,"-"))</f>
      </c>
    </row>
    <row r="20" spans="1:19" x14ac:dyDescent="0.25">
      <c r="A20" s="14" t="s">
        <v>135</v>
      </c>
      <c r="B20" s="15">
        <v>46262</v>
      </c>
      <c r="C20" s="16" t="s">
        <v>54</v>
      </c>
      <c r="D20" s="16" t="s">
        <v>136</v>
      </c>
      <c r="E20" s="16" t="s">
        <v>137</v>
      </c>
      <c r="F20" s="14" t="s">
        <v>57</v>
      </c>
      <c r="G20" s="14" t="s">
        <v>58</v>
      </c>
      <c r="H20" s="27" t="s">
        <v>122</v>
      </c>
      <c r="I20" s="14" t="s">
        <v>104</v>
      </c>
      <c r="J20" s="15">
        <v>46268</v>
      </c>
      <c r="K20" s="28">
        <v>5</v>
      </c>
      <c r="L20" s="29">
        <v>310</v>
      </c>
      <c r="M20" s="30">
        <f>IF(A20="","",IFERROR(K20*INDEX(Technicians!$B$4:$B$8,MATCH(H20,Technicians!$A$4:$A$8,0)),0))</f>
      </c>
      <c r="N20" s="30">
        <f>IF(A20="","",L20+M20)</f>
      </c>
      <c r="O20" s="18">
        <f>IF(A20="","",IF(J20="","-",J20-B20))</f>
      </c>
      <c r="P20" s="18">
        <f>IF(A20="","",IF(R20=1,$B$2-B20,"-"))</f>
      </c>
      <c r="Q20" s="18">
        <f>IF(A20="","",IF(R20=0,"-",IF(P20&lt;=7,"0-7 days",IF(P20&lt;=30,"8-30 days","31+ days"))))</f>
      </c>
      <c r="R20" s="18">
        <f>IF(A20="","",IF(J20="",1,0))</f>
      </c>
      <c r="S20" s="31">
        <f>IF(A20="","",IF(R20=1,P20+ROW()/10000,"-"))</f>
      </c>
    </row>
    <row r="21" spans="1:19" x14ac:dyDescent="0.25">
      <c r="A21" s="14" t="s">
        <v>138</v>
      </c>
      <c r="B21" s="15">
        <v>46267</v>
      </c>
      <c r="C21" s="16" t="s">
        <v>61</v>
      </c>
      <c r="D21" s="16" t="s">
        <v>139</v>
      </c>
      <c r="E21" s="16" t="s">
        <v>140</v>
      </c>
      <c r="F21" s="14" t="s">
        <v>64</v>
      </c>
      <c r="G21" s="14" t="s">
        <v>58</v>
      </c>
      <c r="H21" s="27" t="s">
        <v>124</v>
      </c>
      <c r="I21" s="14" t="s">
        <v>104</v>
      </c>
      <c r="J21" s="15">
        <v>46270</v>
      </c>
      <c r="K21" s="28">
        <v>3.5</v>
      </c>
      <c r="L21" s="29">
        <v>185</v>
      </c>
      <c r="M21" s="30">
        <f>IF(A21="","",IFERROR(K21*INDEX(Technicians!$B$4:$B$8,MATCH(H21,Technicians!$A$4:$A$8,0)),0))</f>
      </c>
      <c r="N21" s="30">
        <f>IF(A21="","",L21+M21)</f>
      </c>
      <c r="O21" s="18">
        <f>IF(A21="","",IF(J21="","-",J21-B21))</f>
      </c>
      <c r="P21" s="18">
        <f>IF(A21="","",IF(R21=1,$B$2-B21,"-"))</f>
      </c>
      <c r="Q21" s="18">
        <f>IF(A21="","",IF(R21=0,"-",IF(P21&lt;=7,"0-7 days",IF(P21&lt;=30,"8-30 days","31+ days"))))</f>
      </c>
      <c r="R21" s="18">
        <f>IF(A21="","",IF(J21="",1,0))</f>
      </c>
      <c r="S21" s="31">
        <f>IF(A21="","",IF(R21=1,P21+ROW()/10000,"-"))</f>
      </c>
    </row>
    <row r="22" spans="1:19" x14ac:dyDescent="0.25">
      <c r="A22" s="14" t="s">
        <v>141</v>
      </c>
      <c r="B22" s="15">
        <v>46269</v>
      </c>
      <c r="C22" s="16" t="s">
        <v>142</v>
      </c>
      <c r="D22" s="16" t="s">
        <v>143</v>
      </c>
      <c r="E22" s="16" t="s">
        <v>144</v>
      </c>
      <c r="F22" s="14" t="s">
        <v>70</v>
      </c>
      <c r="G22" s="14" t="s">
        <v>51</v>
      </c>
      <c r="H22" s="27" t="s">
        <v>126</v>
      </c>
      <c r="I22" s="14" t="s">
        <v>104</v>
      </c>
      <c r="J22" s="15">
        <v>46273</v>
      </c>
      <c r="K22" s="28">
        <v>1</v>
      </c>
      <c r="L22" s="29">
        <v>18</v>
      </c>
      <c r="M22" s="30">
        <f>IF(A22="","",IFERROR(K22*INDEX(Technicians!$B$4:$B$8,MATCH(H22,Technicians!$A$4:$A$8,0)),0))</f>
      </c>
      <c r="N22" s="30">
        <f>IF(A22="","",L22+M22)</f>
      </c>
      <c r="O22" s="18">
        <f>IF(A22="","",IF(J22="","-",J22-B22))</f>
      </c>
      <c r="P22" s="18">
        <f>IF(A22="","",IF(R22=1,$B$2-B22,"-"))</f>
      </c>
      <c r="Q22" s="18">
        <f>IF(A22="","",IF(R22=0,"-",IF(P22&lt;=7,"0-7 days",IF(P22&lt;=30,"8-30 days","31+ days"))))</f>
      </c>
      <c r="R22" s="18">
        <f>IF(A22="","",IF(J22="",1,0))</f>
      </c>
      <c r="S22" s="31">
        <f>IF(A22="","",IF(R22=1,P22+ROW()/10000,"-"))</f>
      </c>
    </row>
    <row r="23" spans="1:19" x14ac:dyDescent="0.25">
      <c r="A23" s="14" t="s">
        <v>145</v>
      </c>
      <c r="B23" s="15">
        <v>46273</v>
      </c>
      <c r="C23" s="16" t="s">
        <v>93</v>
      </c>
      <c r="D23" s="16" t="s">
        <v>94</v>
      </c>
      <c r="E23" s="16" t="s">
        <v>146</v>
      </c>
      <c r="F23" s="14" t="s">
        <v>57</v>
      </c>
      <c r="G23" s="14" t="s">
        <v>58</v>
      </c>
      <c r="H23" s="27" t="s">
        <v>122</v>
      </c>
      <c r="I23" s="14" t="s">
        <v>147</v>
      </c>
      <c r="J23" s="15"/>
      <c r="K23" s="28">
        <v>2</v>
      </c>
      <c r="L23" s="29">
        <v>0</v>
      </c>
      <c r="M23" s="30">
        <f>IF(A23="","",IFERROR(K23*INDEX(Technicians!$B$4:$B$8,MATCH(H23,Technicians!$A$4:$A$8,0)),0))</f>
      </c>
      <c r="N23" s="30">
        <f>IF(A23="","",L23+M23)</f>
      </c>
      <c r="O23" s="18">
        <f>IF(A23="","",IF(J23="","-",J23-B23))</f>
      </c>
      <c r="P23" s="18">
        <f>IF(A23="","",IF(R23=1,$B$2-B23,"-"))</f>
      </c>
      <c r="Q23" s="18">
        <f>IF(A23="","",IF(R23=0,"-",IF(P23&lt;=7,"0-7 days",IF(P23&lt;=30,"8-30 days","31+ days"))))</f>
      </c>
      <c r="R23" s="18">
        <f>IF(A23="","",IF(J23="",1,0))</f>
      </c>
      <c r="S23" s="31">
        <f>IF(A23="","",IF(R23=1,P23+ROW()/10000,"-"))</f>
      </c>
    </row>
    <row r="24" spans="1:19" x14ac:dyDescent="0.25">
      <c r="A24" s="14" t="s">
        <v>74</v>
      </c>
      <c r="B24" s="15">
        <v>46276</v>
      </c>
      <c r="C24" s="16" t="s">
        <v>47</v>
      </c>
      <c r="D24" s="16" t="s">
        <v>48</v>
      </c>
      <c r="E24" s="16" t="s">
        <v>148</v>
      </c>
      <c r="F24" s="14" t="s">
        <v>70</v>
      </c>
      <c r="G24" s="14" t="s">
        <v>51</v>
      </c>
      <c r="H24" s="27" t="s">
        <v>126</v>
      </c>
      <c r="I24" s="14" t="s">
        <v>104</v>
      </c>
      <c r="J24" s="15">
        <v>46290</v>
      </c>
      <c r="K24" s="28">
        <v>3</v>
      </c>
      <c r="L24" s="29">
        <v>95</v>
      </c>
      <c r="M24" s="30">
        <f>IF(A24="","",IFERROR(K24*INDEX(Technicians!$B$4:$B$8,MATCH(H24,Technicians!$A$4:$A$8,0)),0))</f>
      </c>
      <c r="N24" s="30">
        <f>IF(A24="","",L24+M24)</f>
      </c>
      <c r="O24" s="18">
        <f>IF(A24="","",IF(J24="","-",J24-B24))</f>
      </c>
      <c r="P24" s="18">
        <f>IF(A24="","",IF(R24=1,$B$2-B24,"-"))</f>
      </c>
      <c r="Q24" s="18">
        <f>IF(A24="","",IF(R24=0,"-",IF(P24&lt;=7,"0-7 days",IF(P24&lt;=30,"8-30 days","31+ days"))))</f>
      </c>
      <c r="R24" s="18">
        <f>IF(A24="","",IF(J24="",1,0))</f>
      </c>
      <c r="S24" s="31">
        <f>IF(A24="","",IF(R24=1,P24+ROW()/10000,"-"))</f>
      </c>
    </row>
    <row r="25" spans="1:19" x14ac:dyDescent="0.25">
      <c r="A25" s="14" t="s">
        <v>149</v>
      </c>
      <c r="B25" s="15">
        <v>46280</v>
      </c>
      <c r="C25" s="16" t="s">
        <v>61</v>
      </c>
      <c r="D25" s="16" t="s">
        <v>150</v>
      </c>
      <c r="E25" s="16" t="s">
        <v>151</v>
      </c>
      <c r="F25" s="14" t="s">
        <v>64</v>
      </c>
      <c r="G25" s="14" t="s">
        <v>58</v>
      </c>
      <c r="H25" s="27" t="s">
        <v>124</v>
      </c>
      <c r="I25" s="14" t="s">
        <v>104</v>
      </c>
      <c r="J25" s="15">
        <v>46283</v>
      </c>
      <c r="K25" s="28">
        <v>2.5</v>
      </c>
      <c r="L25" s="29">
        <v>140</v>
      </c>
      <c r="M25" s="30">
        <f>IF(A25="","",IFERROR(K25*INDEX(Technicians!$B$4:$B$8,MATCH(H25,Technicians!$A$4:$A$8,0)),0))</f>
      </c>
      <c r="N25" s="30">
        <f>IF(A25="","",L25+M25)</f>
      </c>
      <c r="O25" s="18">
        <f>IF(A25="","",IF(J25="","-",J25-B25))</f>
      </c>
      <c r="P25" s="18">
        <f>IF(A25="","",IF(R25=1,$B$2-B25,"-"))</f>
      </c>
      <c r="Q25" s="18">
        <f>IF(A25="","",IF(R25=0,"-",IF(P25&lt;=7,"0-7 days",IF(P25&lt;=30,"8-30 days","31+ days"))))</f>
      </c>
      <c r="R25" s="18">
        <f>IF(A25="","",IF(J25="",1,0))</f>
      </c>
      <c r="S25" s="31">
        <f>IF(A25="","",IF(R25=1,P25+ROW()/10000,"-"))</f>
      </c>
    </row>
    <row r="26" spans="1:19" x14ac:dyDescent="0.25">
      <c r="A26" s="14" t="s">
        <v>152</v>
      </c>
      <c r="B26" s="15">
        <v>46282</v>
      </c>
      <c r="C26" s="16" t="s">
        <v>93</v>
      </c>
      <c r="D26" s="16" t="s">
        <v>128</v>
      </c>
      <c r="E26" s="16" t="s">
        <v>153</v>
      </c>
      <c r="F26" s="14" t="s">
        <v>84</v>
      </c>
      <c r="G26" s="14" t="s">
        <v>58</v>
      </c>
      <c r="H26" s="27" t="s">
        <v>131</v>
      </c>
      <c r="I26" s="14" t="s">
        <v>104</v>
      </c>
      <c r="J26" s="15">
        <v>46287</v>
      </c>
      <c r="K26" s="28">
        <v>4.5</v>
      </c>
      <c r="L26" s="29">
        <v>160</v>
      </c>
      <c r="M26" s="30">
        <f>IF(A26="","",IFERROR(K26*INDEX(Technicians!$B$4:$B$8,MATCH(H26,Technicians!$A$4:$A$8,0)),0))</f>
      </c>
      <c r="N26" s="30">
        <f>IF(A26="","",L26+M26)</f>
      </c>
      <c r="O26" s="18">
        <f>IF(A26="","",IF(J26="","-",J26-B26))</f>
      </c>
      <c r="P26" s="18">
        <f>IF(A26="","",IF(R26=1,$B$2-B26,"-"))</f>
      </c>
      <c r="Q26" s="18">
        <f>IF(A26="","",IF(R26=0,"-",IF(P26&lt;=7,"0-7 days",IF(P26&lt;=30,"8-30 days","31+ days"))))</f>
      </c>
      <c r="R26" s="18">
        <f>IF(A26="","",IF(J26="",1,0))</f>
      </c>
      <c r="S26" s="31">
        <f>IF(A26="","",IF(R26=1,P26+ROW()/10000,"-"))</f>
      </c>
    </row>
    <row r="27" spans="1:19" x14ac:dyDescent="0.25">
      <c r="A27" s="14" t="s">
        <v>154</v>
      </c>
      <c r="B27" s="15">
        <v>46285</v>
      </c>
      <c r="C27" s="16" t="s">
        <v>54</v>
      </c>
      <c r="D27" s="16" t="s">
        <v>155</v>
      </c>
      <c r="E27" s="16" t="s">
        <v>156</v>
      </c>
      <c r="F27" s="14" t="s">
        <v>50</v>
      </c>
      <c r="G27" s="14" t="s">
        <v>51</v>
      </c>
      <c r="H27" s="27" t="s">
        <v>120</v>
      </c>
      <c r="I27" s="14" t="s">
        <v>157</v>
      </c>
      <c r="J27" s="15"/>
      <c r="K27" s="28">
        <v>0</v>
      </c>
      <c r="L27" s="29">
        <v>0</v>
      </c>
      <c r="M27" s="30">
        <f>IF(A27="","",IFERROR(K27*INDEX(Technicians!$B$4:$B$8,MATCH(H27,Technicians!$A$4:$A$8,0)),0))</f>
      </c>
      <c r="N27" s="30">
        <f>IF(A27="","",L27+M27)</f>
      </c>
      <c r="O27" s="18">
        <f>IF(A27="","",IF(J27="","-",J27-B27))</f>
      </c>
      <c r="P27" s="18">
        <f>IF(A27="","",IF(R27=1,$B$2-B27,"-"))</f>
      </c>
      <c r="Q27" s="18">
        <f>IF(A27="","",IF(R27=0,"-",IF(P27&lt;=7,"0-7 days",IF(P27&lt;=30,"8-30 days","31+ days"))))</f>
      </c>
      <c r="R27" s="18">
        <f>IF(A27="","",IF(J27="",1,0))</f>
      </c>
      <c r="S27" s="31">
        <f>IF(A27="","",IF(R27=1,P27+ROW()/10000,"-"))</f>
      </c>
    </row>
    <row r="28" spans="1:19" x14ac:dyDescent="0.25">
      <c r="A28" s="14" t="s">
        <v>78</v>
      </c>
      <c r="B28" s="15">
        <v>46289</v>
      </c>
      <c r="C28" s="16" t="s">
        <v>47</v>
      </c>
      <c r="D28" s="16" t="s">
        <v>62</v>
      </c>
      <c r="E28" s="16" t="s">
        <v>158</v>
      </c>
      <c r="F28" s="14" t="s">
        <v>50</v>
      </c>
      <c r="G28" s="14" t="s">
        <v>77</v>
      </c>
      <c r="H28" s="27"/>
      <c r="I28" s="14" t="s">
        <v>159</v>
      </c>
      <c r="J28" s="15"/>
      <c r="K28" s="28">
        <v>0</v>
      </c>
      <c r="L28" s="29">
        <v>0</v>
      </c>
      <c r="M28" s="30">
        <f>IF(A28="","",IFERROR(K28*INDEX(Technicians!$B$4:$B$8,MATCH(H28,Technicians!$A$4:$A$8,0)),0))</f>
      </c>
      <c r="N28" s="30">
        <f>IF(A28="","",L28+M28)</f>
      </c>
      <c r="O28" s="18">
        <f>IF(A28="","",IF(J28="","-",J28-B28))</f>
      </c>
      <c r="P28" s="18">
        <f>IF(A28="","",IF(R28=1,$B$2-B28,"-"))</f>
      </c>
      <c r="Q28" s="18">
        <f>IF(A28="","",IF(R28=0,"-",IF(P28&lt;=7,"0-7 days",IF(P28&lt;=30,"8-30 days","31+ days"))))</f>
      </c>
      <c r="R28" s="18">
        <f>IF(A28="","",IF(J28="",1,0))</f>
      </c>
      <c r="S28" s="31">
        <f>IF(A28="","",IF(R28=1,P28+ROW()/10000,"-"))</f>
      </c>
    </row>
    <row r="29" spans="1:19" x14ac:dyDescent="0.25">
      <c r="A29" s="14" t="s">
        <v>81</v>
      </c>
      <c r="B29" s="15">
        <v>46294</v>
      </c>
      <c r="C29" s="16" t="s">
        <v>67</v>
      </c>
      <c r="D29" s="16" t="s">
        <v>68</v>
      </c>
      <c r="E29" s="16" t="s">
        <v>160</v>
      </c>
      <c r="F29" s="14" t="s">
        <v>70</v>
      </c>
      <c r="G29" s="14" t="s">
        <v>51</v>
      </c>
      <c r="H29" s="27" t="s">
        <v>126</v>
      </c>
      <c r="I29" s="14" t="s">
        <v>104</v>
      </c>
      <c r="J29" s="15">
        <v>46296</v>
      </c>
      <c r="K29" s="28">
        <v>1.5</v>
      </c>
      <c r="L29" s="29">
        <v>25</v>
      </c>
      <c r="M29" s="30">
        <f>IF(A29="","",IFERROR(K29*INDEX(Technicians!$B$4:$B$8,MATCH(H29,Technicians!$A$4:$A$8,0)),0))</f>
      </c>
      <c r="N29" s="30">
        <f>IF(A29="","",L29+M29)</f>
      </c>
      <c r="O29" s="18">
        <f>IF(A29="","",IF(J29="","-",J29-B29))</f>
      </c>
      <c r="P29" s="18">
        <f>IF(A29="","",IF(R29=1,$B$2-B29,"-"))</f>
      </c>
      <c r="Q29" s="18">
        <f>IF(A29="","",IF(R29=0,"-",IF(P29&lt;=7,"0-7 days",IF(P29&lt;=30,"8-30 days","31+ days"))))</f>
      </c>
      <c r="R29" s="18">
        <f>IF(A29="","",IF(J29="",1,0))</f>
      </c>
      <c r="S29" s="31">
        <f>IF(A29="","",IF(R29=1,P29+ROW()/10000,"-"))</f>
      </c>
    </row>
    <row r="30" spans="1:19" x14ac:dyDescent="0.25">
      <c r="A30" s="14" t="s">
        <v>102</v>
      </c>
      <c r="B30" s="15">
        <v>46296</v>
      </c>
      <c r="C30" s="16" t="s">
        <v>93</v>
      </c>
      <c r="D30" s="16" t="s">
        <v>94</v>
      </c>
      <c r="E30" s="16" t="s">
        <v>161</v>
      </c>
      <c r="F30" s="14" t="s">
        <v>57</v>
      </c>
      <c r="G30" s="14" t="s">
        <v>130</v>
      </c>
      <c r="H30" s="27" t="s">
        <v>122</v>
      </c>
      <c r="I30" s="14" t="s">
        <v>104</v>
      </c>
      <c r="J30" s="15">
        <v>46300</v>
      </c>
      <c r="K30" s="28">
        <v>6</v>
      </c>
      <c r="L30" s="29">
        <v>410</v>
      </c>
      <c r="M30" s="30">
        <f>IF(A30="","",IFERROR(K30*INDEX(Technicians!$B$4:$B$8,MATCH(H30,Technicians!$A$4:$A$8,0)),0))</f>
      </c>
      <c r="N30" s="30">
        <f>IF(A30="","",L30+M30)</f>
      </c>
      <c r="O30" s="18">
        <f>IF(A30="","",IF(J30="","-",J30-B30))</f>
      </c>
      <c r="P30" s="18">
        <f>IF(A30="","",IF(R30=1,$B$2-B30,"-"))</f>
      </c>
      <c r="Q30" s="18">
        <f>IF(A30="","",IF(R30=0,"-",IF(P30&lt;=7,"0-7 days",IF(P30&lt;=30,"8-30 days","31+ days"))))</f>
      </c>
      <c r="R30" s="18">
        <f>IF(A30="","",IF(J30="",1,0))</f>
      </c>
      <c r="S30" s="31">
        <f>IF(A30="","",IF(R30=1,P30+ROW()/10000,"-"))</f>
      </c>
    </row>
    <row r="31" spans="1:19" x14ac:dyDescent="0.25">
      <c r="A31" s="14" t="s">
        <v>162</v>
      </c>
      <c r="B31" s="15">
        <v>46301</v>
      </c>
      <c r="C31" s="16" t="s">
        <v>61</v>
      </c>
      <c r="D31" s="16" t="s">
        <v>139</v>
      </c>
      <c r="E31" s="16" t="s">
        <v>163</v>
      </c>
      <c r="F31" s="14" t="s">
        <v>84</v>
      </c>
      <c r="G31" s="14" t="s">
        <v>51</v>
      </c>
      <c r="H31" s="27" t="s">
        <v>131</v>
      </c>
      <c r="I31" s="14" t="s">
        <v>104</v>
      </c>
      <c r="J31" s="15">
        <v>46304</v>
      </c>
      <c r="K31" s="28">
        <v>3</v>
      </c>
      <c r="L31" s="29">
        <v>120</v>
      </c>
      <c r="M31" s="30">
        <f>IF(A31="","",IFERROR(K31*INDEX(Technicians!$B$4:$B$8,MATCH(H31,Technicians!$A$4:$A$8,0)),0))</f>
      </c>
      <c r="N31" s="30">
        <f>IF(A31="","",L31+M31)</f>
      </c>
      <c r="O31" s="18">
        <f>IF(A31="","",IF(J31="","-",J31-B31))</f>
      </c>
      <c r="P31" s="18">
        <f>IF(A31="","",IF(R31=1,$B$2-B31,"-"))</f>
      </c>
      <c r="Q31" s="18">
        <f>IF(A31="","",IF(R31=0,"-",IF(P31&lt;=7,"0-7 days",IF(P31&lt;=30,"8-30 days","31+ days"))))</f>
      </c>
      <c r="R31" s="18">
        <f>IF(A31="","",IF(J31="",1,0))</f>
      </c>
      <c r="S31" s="31">
        <f>IF(A31="","",IF(R31=1,P31+ROW()/10000,"-"))</f>
      </c>
    </row>
    <row r="32" spans="1:19" x14ac:dyDescent="0.25">
      <c r="A32" s="14" t="s">
        <v>85</v>
      </c>
      <c r="B32" s="15">
        <v>46303</v>
      </c>
      <c r="C32" s="16" t="s">
        <v>54</v>
      </c>
      <c r="D32" s="16" t="s">
        <v>55</v>
      </c>
      <c r="E32" s="16" t="s">
        <v>164</v>
      </c>
      <c r="F32" s="14" t="s">
        <v>84</v>
      </c>
      <c r="G32" s="14" t="s">
        <v>51</v>
      </c>
      <c r="H32" s="27" t="s">
        <v>131</v>
      </c>
      <c r="I32" s="14" t="s">
        <v>147</v>
      </c>
      <c r="J32" s="15"/>
      <c r="K32" s="28">
        <v>1</v>
      </c>
      <c r="L32" s="29">
        <v>0</v>
      </c>
      <c r="M32" s="30">
        <f>IF(A32="","",IFERROR(K32*INDEX(Technicians!$B$4:$B$8,MATCH(H32,Technicians!$A$4:$A$8,0)),0))</f>
      </c>
      <c r="N32" s="30">
        <f>IF(A32="","",L32+M32)</f>
      </c>
      <c r="O32" s="18">
        <f>IF(A32="","",IF(J32="","-",J32-B32))</f>
      </c>
      <c r="P32" s="18">
        <f>IF(A32="","",IF(R32=1,$B$2-B32,"-"))</f>
      </c>
      <c r="Q32" s="18">
        <f>IF(A32="","",IF(R32=0,"-",IF(P32&lt;=7,"0-7 days",IF(P32&lt;=30,"8-30 days","31+ days"))))</f>
      </c>
      <c r="R32" s="18">
        <f>IF(A32="","",IF(J32="",1,0))</f>
      </c>
      <c r="S32" s="31">
        <f>IF(A32="","",IF(R32=1,P32+ROW()/10000,"-"))</f>
      </c>
    </row>
    <row r="33" spans="1:19" x14ac:dyDescent="0.25">
      <c r="A33" s="14" t="s">
        <v>88</v>
      </c>
      <c r="B33" s="15">
        <v>46308</v>
      </c>
      <c r="C33" s="16" t="s">
        <v>47</v>
      </c>
      <c r="D33" s="16" t="s">
        <v>48</v>
      </c>
      <c r="E33" s="16" t="s">
        <v>165</v>
      </c>
      <c r="F33" s="14" t="s">
        <v>64</v>
      </c>
      <c r="G33" s="14" t="s">
        <v>77</v>
      </c>
      <c r="H33" s="27" t="s">
        <v>124</v>
      </c>
      <c r="I33" s="14" t="s">
        <v>104</v>
      </c>
      <c r="J33" s="15">
        <v>46310</v>
      </c>
      <c r="K33" s="28">
        <v>1</v>
      </c>
      <c r="L33" s="29">
        <v>0</v>
      </c>
      <c r="M33" s="30">
        <f>IF(A33="","",IFERROR(K33*INDEX(Technicians!$B$4:$B$8,MATCH(H33,Technicians!$A$4:$A$8,0)),0))</f>
      </c>
      <c r="N33" s="30">
        <f>IF(A33="","",L33+M33)</f>
      </c>
      <c r="O33" s="18">
        <f>IF(A33="","",IF(J33="","-",J33-B33))</f>
      </c>
      <c r="P33" s="18">
        <f>IF(A33="","",IF(R33=1,$B$2-B33,"-"))</f>
      </c>
      <c r="Q33" s="18">
        <f>IF(A33="","",IF(R33=0,"-",IF(P33&lt;=7,"0-7 days",IF(P33&lt;=30,"8-30 days","31+ days"))))</f>
      </c>
      <c r="R33" s="18">
        <f>IF(A33="","",IF(J33="",1,0))</f>
      </c>
      <c r="S33" s="31">
        <f>IF(A33="","",IF(R33=1,P33+ROW()/10000,"-"))</f>
      </c>
    </row>
    <row r="34" spans="1:19" x14ac:dyDescent="0.25">
      <c r="A34" s="14" t="s">
        <v>166</v>
      </c>
      <c r="B34" s="15">
        <v>46310</v>
      </c>
      <c r="C34" s="16" t="s">
        <v>67</v>
      </c>
      <c r="D34" s="16" t="s">
        <v>68</v>
      </c>
      <c r="E34" s="16" t="s">
        <v>167</v>
      </c>
      <c r="F34" s="14" t="s">
        <v>70</v>
      </c>
      <c r="G34" s="14" t="s">
        <v>77</v>
      </c>
      <c r="H34" s="27" t="s">
        <v>126</v>
      </c>
      <c r="I34" s="14" t="s">
        <v>159</v>
      </c>
      <c r="J34" s="15"/>
      <c r="K34" s="28">
        <v>0</v>
      </c>
      <c r="L34" s="29">
        <v>0</v>
      </c>
      <c r="M34" s="30">
        <f>IF(A34="","",IFERROR(K34*INDEX(Technicians!$B$4:$B$8,MATCH(H34,Technicians!$A$4:$A$8,0)),0))</f>
      </c>
      <c r="N34" s="30">
        <f>IF(A34="","",L34+M34)</f>
      </c>
      <c r="O34" s="18">
        <f>IF(A34="","",IF(J34="","-",J34-B34))</f>
      </c>
      <c r="P34" s="18">
        <f>IF(A34="","",IF(R34=1,$B$2-B34,"-"))</f>
      </c>
      <c r="Q34" s="18">
        <f>IF(A34="","",IF(R34=0,"-",IF(P34&lt;=7,"0-7 days",IF(P34&lt;=30,"8-30 days","31+ days"))))</f>
      </c>
      <c r="R34" s="18">
        <f>IF(A34="","",IF(J34="",1,0))</f>
      </c>
      <c r="S34" s="31">
        <f>IF(A34="","",IF(R34=1,P34+ROW()/10000,"-"))</f>
      </c>
    </row>
    <row r="35" spans="1:19" x14ac:dyDescent="0.25">
      <c r="A35" s="14" t="s">
        <v>168</v>
      </c>
      <c r="B35" s="15">
        <v>46311</v>
      </c>
      <c r="C35" s="16" t="s">
        <v>93</v>
      </c>
      <c r="D35" s="16" t="s">
        <v>128</v>
      </c>
      <c r="E35" s="16" t="s">
        <v>169</v>
      </c>
      <c r="F35" s="14" t="s">
        <v>57</v>
      </c>
      <c r="G35" s="14" t="s">
        <v>58</v>
      </c>
      <c r="H35" s="27" t="s">
        <v>122</v>
      </c>
      <c r="I35" s="14" t="s">
        <v>147</v>
      </c>
      <c r="J35" s="15"/>
      <c r="K35" s="28">
        <v>1.5</v>
      </c>
      <c r="L35" s="29">
        <v>0</v>
      </c>
      <c r="M35" s="30">
        <f>IF(A35="","",IFERROR(K35*INDEX(Technicians!$B$4:$B$8,MATCH(H35,Technicians!$A$4:$A$8,0)),0))</f>
      </c>
      <c r="N35" s="30">
        <f>IF(A35="","",L35+M35)</f>
      </c>
      <c r="O35" s="18">
        <f>IF(A35="","",IF(J35="","-",J35-B35))</f>
      </c>
      <c r="P35" s="18">
        <f>IF(A35="","",IF(R35=1,$B$2-B35,"-"))</f>
      </c>
      <c r="Q35" s="18">
        <f>IF(A35="","",IF(R35=0,"-",IF(P35&lt;=7,"0-7 days",IF(P35&lt;=30,"8-30 days","31+ days"))))</f>
      </c>
      <c r="R35" s="18">
        <f>IF(A35="","",IF(J35="",1,0))</f>
      </c>
      <c r="S35" s="31">
        <f>IF(A35="","",IF(R35=1,P35+ROW()/10000,"-"))</f>
      </c>
    </row>
    <row r="36" spans="1:19" x14ac:dyDescent="0.25">
      <c r="A36" s="14" t="s">
        <v>170</v>
      </c>
      <c r="B36" s="15">
        <v>46314</v>
      </c>
      <c r="C36" s="16" t="s">
        <v>61</v>
      </c>
      <c r="D36" s="16" t="s">
        <v>62</v>
      </c>
      <c r="E36" s="16" t="s">
        <v>171</v>
      </c>
      <c r="F36" s="14" t="s">
        <v>84</v>
      </c>
      <c r="G36" s="14" t="s">
        <v>51</v>
      </c>
      <c r="H36" s="27" t="s">
        <v>131</v>
      </c>
      <c r="I36" s="14" t="s">
        <v>159</v>
      </c>
      <c r="J36" s="15"/>
      <c r="K36" s="28">
        <v>0</v>
      </c>
      <c r="L36" s="29">
        <v>0</v>
      </c>
      <c r="M36" s="30">
        <f>IF(A36="","",IFERROR(K36*INDEX(Technicians!$B$4:$B$8,MATCH(H36,Technicians!$A$4:$A$8,0)),0))</f>
      </c>
      <c r="N36" s="30">
        <f>IF(A36="","",L36+M36)</f>
      </c>
      <c r="O36" s="18">
        <f>IF(A36="","",IF(J36="","-",J36-B36))</f>
      </c>
      <c r="P36" s="18">
        <f>IF(A36="","",IF(R36=1,$B$2-B36,"-"))</f>
      </c>
      <c r="Q36" s="18">
        <f>IF(A36="","",IF(R36=0,"-",IF(P36&lt;=7,"0-7 days",IF(P36&lt;=30,"8-30 days","31+ days"))))</f>
      </c>
      <c r="R36" s="18">
        <f>IF(A36="","",IF(J36="",1,0))</f>
      </c>
      <c r="S36" s="31">
        <f>IF(A36="","",IF(R36=1,P36+ROW()/10000,"-"))</f>
      </c>
    </row>
  </sheetData>
  <mergeCells count="15">
    <mergeCell ref="A1:Q1"/>
    <mergeCell ref="A4:G4"/>
    <mergeCell ref="B5:C5"/>
    <mergeCell ref="E5:G5"/>
    <mergeCell ref="B6:C6"/>
    <mergeCell ref="E6:G6"/>
    <mergeCell ref="B7:C7"/>
    <mergeCell ref="E7:G7"/>
    <mergeCell ref="B8:C8"/>
    <mergeCell ref="E8:G8"/>
    <mergeCell ref="B9:C9"/>
    <mergeCell ref="E9:G9"/>
    <mergeCell ref="B10:G10"/>
    <mergeCell ref="B11:C11"/>
    <mergeCell ref="E11:G11"/>
  </mergeCells>
  <dataValidations count="7">
    <dataValidation type="list" showErrorMessage="1" errorTitle="Unknown work order" error="Pick a work order number from the log below." sqref="B5">
      <formula1>$A$14:$A$36</formula1>
    </dataValidation>
    <dataValidation type="list" showErrorMessage="1" errorTitle="Invalid category" error="Choose one of: Electrical, Plumbing, HVAC, Mechanical, General" sqref="F14:F36">
      <formula1>"Electrical,Plumbing,HVAC,Mechanical,General"</formula1>
    </dataValidation>
    <dataValidation type="list" showErrorMessage="1" errorTitle="Invalid priority" error="Choose one of: Urgent, High, Normal, Low" sqref="G14:G36">
      <formula1>"Urgent,High,Normal,Low"</formula1>
    </dataValidation>
    <dataValidation type="list" allowBlank="1" showErrorMessage="1" errorTitle="Unknown technician" error="Choose a technician from the list on the Technicians sheet." sqref="H14:H36">
      <formula1>Technicians!$A$4:$A$8</formula1>
    </dataValidation>
    <dataValidation type="list" showErrorMessage="1" errorTitle="Invalid status" error="Choose one of: Open, In Progress, On Hold, Closed" sqref="I14:I36">
      <formula1>"Open,In Progress,On Hold,Closed"</formula1>
    </dataValidation>
    <dataValidation type="decimal" allowBlank="1" showErrorMessage="1" errorTitle="Invalid labor hours" error="Enter a number between 0 and 1000" sqref="K14:K36">
      <formula1>0</formula1>
      <formula2>1000</formula2>
    </dataValidation>
    <dataValidation type="decimal" allowBlank="1" showErrorMessage="1" errorTitle="Invalid parts cost" error="Enter a number between 0 and 1000000" sqref="L14:L36">
      <formula1>0</formula1>
      <formula2>1000000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pane ySplit="3" topLeftCell="A4" activePane="bottomLeft" state="frozen"/>
      <selection pane="bottomLeft"/>
    </sheetView>
  </sheetViews>
  <sheetFormatPr defaultRowHeight="15" outlineLevelRow="0" outlineLevelCol="0" x14ac:dyDescent="55"/>
  <cols>
    <col min="1" max="1" width="20" customWidth="1"/>
    <col min="2" max="2" width="13" customWidth="1"/>
    <col min="3" max="3" width="14" customWidth="1"/>
    <col min="4" max="5" width="10" customWidth="1"/>
    <col min="6" max="7" width="13" customWidth="1"/>
    <col min="8" max="8" width="14" customWidth="1"/>
    <col min="9" max="9" width="16" customWidth="1"/>
  </cols>
  <sheetData>
    <row r="1" ht="30" customHeight="1" spans="1:9" x14ac:dyDescent="0.25">
      <c r="A1" s="2" t="s">
        <v>172</v>
      </c>
      <c r="B1" s="2"/>
      <c r="C1" s="2"/>
      <c r="D1" s="2"/>
      <c r="E1" s="2"/>
      <c r="F1" s="2"/>
      <c r="G1" s="2"/>
      <c r="H1" s="2"/>
      <c r="I1" s="2"/>
    </row>
    <row r="2" spans="1:1" x14ac:dyDescent="0.25">
      <c r="A2" s="32">
        <f>IF(SUMPRODUCT(('Work Orders'!$A$14:$A$36&lt;&gt;"")*('Work Orders'!$H$14:$H$36&lt;&gt;"")*(COUNTIF($A$4:$A$8,'Work Orders'!$H$14:$H$36)=0))=0," ","Check: "&amp;SUMPRODUCT(('Work Orders'!$A$14:$A$36&lt;&gt;"")*('Work Orders'!$H$14:$H$36&lt;&gt;"")*(COUNTIF($A$4:$A$8,'Work Orders'!$H$14:$H$36)=0))&amp;" work order(s) name a technician who is not on this list, so their labor cost shows as $0. Fix the name on Work Orders or add it here.")</f>
      </c>
    </row>
    <row r="3" ht="30" customHeight="1" spans="1:9" x14ac:dyDescent="0.25">
      <c r="A3" s="13" t="s">
        <v>105</v>
      </c>
      <c r="B3" s="13" t="s">
        <v>173</v>
      </c>
      <c r="C3" s="13" t="s">
        <v>174</v>
      </c>
      <c r="D3" s="13" t="s">
        <v>159</v>
      </c>
      <c r="E3" s="13" t="s">
        <v>104</v>
      </c>
      <c r="F3" s="13" t="s">
        <v>110</v>
      </c>
      <c r="G3" s="13" t="s">
        <v>112</v>
      </c>
      <c r="H3" s="13" t="s">
        <v>175</v>
      </c>
      <c r="I3" s="13" t="s">
        <v>176</v>
      </c>
    </row>
    <row r="4" spans="1:9" x14ac:dyDescent="0.25">
      <c r="A4" s="27" t="s">
        <v>131</v>
      </c>
      <c r="B4" s="29">
        <v>42</v>
      </c>
      <c r="C4" s="18">
        <f>COUNTIF('Work Orders'!$H$14:$H$36,$A4)</f>
      </c>
      <c r="D4" s="18">
        <f>COUNTIFS('Work Orders'!$H$14:$H$36,$A4,'Work Orders'!$R$14:$R$36,1)</f>
      </c>
      <c r="E4" s="18">
        <f>C4-D4</f>
      </c>
      <c r="F4" s="33">
        <f>SUMIF('Work Orders'!$H$14:$H$36,$A4,'Work Orders'!$K$14:$K$36)</f>
      </c>
      <c r="G4" s="30">
        <f>SUMIF('Work Orders'!$H$14:$H$36,$A4,'Work Orders'!$M$14:$M$36)</f>
      </c>
      <c r="H4" s="33">
        <f>IFERROR(AVERAGEIFS('Work Orders'!$O$14:$O$36,'Work Orders'!$H$14:$H$36,$A4,'Work Orders'!$R$14:$R$36,0),0)</f>
      </c>
      <c r="I4" s="34">
        <f>IFERROR(D4/$D$11,0)</f>
      </c>
    </row>
    <row r="5" spans="1:9" x14ac:dyDescent="0.25">
      <c r="A5" s="27" t="s">
        <v>124</v>
      </c>
      <c r="B5" s="29">
        <v>45</v>
      </c>
      <c r="C5" s="18">
        <f>COUNTIF('Work Orders'!$H$14:$H$36,$A5)</f>
      </c>
      <c r="D5" s="18">
        <f>COUNTIFS('Work Orders'!$H$14:$H$36,$A5,'Work Orders'!$R$14:$R$36,1)</f>
      </c>
      <c r="E5" s="18">
        <f>C5-D5</f>
      </c>
      <c r="F5" s="33">
        <f>SUMIF('Work Orders'!$H$14:$H$36,$A5,'Work Orders'!$K$14:$K$36)</f>
      </c>
      <c r="G5" s="30">
        <f>SUMIF('Work Orders'!$H$14:$H$36,$A5,'Work Orders'!$M$14:$M$36)</f>
      </c>
      <c r="H5" s="33">
        <f>IFERROR(AVERAGEIFS('Work Orders'!$O$14:$O$36,'Work Orders'!$H$14:$H$36,$A5,'Work Orders'!$R$14:$R$36,0),0)</f>
      </c>
      <c r="I5" s="34">
        <f>IFERROR(D5/$D$11,0)</f>
      </c>
    </row>
    <row r="6" spans="1:9" x14ac:dyDescent="0.25">
      <c r="A6" s="27" t="s">
        <v>122</v>
      </c>
      <c r="B6" s="29">
        <v>48</v>
      </c>
      <c r="C6" s="18">
        <f>COUNTIF('Work Orders'!$H$14:$H$36,$A6)</f>
      </c>
      <c r="D6" s="18">
        <f>COUNTIFS('Work Orders'!$H$14:$H$36,$A6,'Work Orders'!$R$14:$R$36,1)</f>
      </c>
      <c r="E6" s="18">
        <f>C6-D6</f>
      </c>
      <c r="F6" s="33">
        <f>SUMIF('Work Orders'!$H$14:$H$36,$A6,'Work Orders'!$K$14:$K$36)</f>
      </c>
      <c r="G6" s="30">
        <f>SUMIF('Work Orders'!$H$14:$H$36,$A6,'Work Orders'!$M$14:$M$36)</f>
      </c>
      <c r="H6" s="33">
        <f>IFERROR(AVERAGEIFS('Work Orders'!$O$14:$O$36,'Work Orders'!$H$14:$H$36,$A6,'Work Orders'!$R$14:$R$36,0),0)</f>
      </c>
      <c r="I6" s="34">
        <f>IFERROR(D6/$D$11,0)</f>
      </c>
    </row>
    <row r="7" spans="1:9" x14ac:dyDescent="0.25">
      <c r="A7" s="27" t="s">
        <v>126</v>
      </c>
      <c r="B7" s="29">
        <v>40</v>
      </c>
      <c r="C7" s="18">
        <f>COUNTIF('Work Orders'!$H$14:$H$36,$A7)</f>
      </c>
      <c r="D7" s="18">
        <f>COUNTIFS('Work Orders'!$H$14:$H$36,$A7,'Work Orders'!$R$14:$R$36,1)</f>
      </c>
      <c r="E7" s="18">
        <f>C7-D7</f>
      </c>
      <c r="F7" s="33">
        <f>SUMIF('Work Orders'!$H$14:$H$36,$A7,'Work Orders'!$K$14:$K$36)</f>
      </c>
      <c r="G7" s="30">
        <f>SUMIF('Work Orders'!$H$14:$H$36,$A7,'Work Orders'!$M$14:$M$36)</f>
      </c>
      <c r="H7" s="33">
        <f>IFERROR(AVERAGEIFS('Work Orders'!$O$14:$O$36,'Work Orders'!$H$14:$H$36,$A7,'Work Orders'!$R$14:$R$36,0),0)</f>
      </c>
      <c r="I7" s="34">
        <f>IFERROR(D7/$D$11,0)</f>
      </c>
    </row>
    <row r="8" spans="1:9" x14ac:dyDescent="0.25">
      <c r="A8" s="27" t="s">
        <v>120</v>
      </c>
      <c r="B8" s="29">
        <v>38</v>
      </c>
      <c r="C8" s="18">
        <f>COUNTIF('Work Orders'!$H$14:$H$36,$A8)</f>
      </c>
      <c r="D8" s="18">
        <f>COUNTIFS('Work Orders'!$H$14:$H$36,$A8,'Work Orders'!$R$14:$R$36,1)</f>
      </c>
      <c r="E8" s="18">
        <f>C8-D8</f>
      </c>
      <c r="F8" s="33">
        <f>SUMIF('Work Orders'!$H$14:$H$36,$A8,'Work Orders'!$K$14:$K$36)</f>
      </c>
      <c r="G8" s="30">
        <f>SUMIF('Work Orders'!$H$14:$H$36,$A8,'Work Orders'!$M$14:$M$36)</f>
      </c>
      <c r="H8" s="33">
        <f>IFERROR(AVERAGEIFS('Work Orders'!$O$14:$O$36,'Work Orders'!$H$14:$H$36,$A8,'Work Orders'!$R$14:$R$36,0),0)</f>
      </c>
      <c r="I8" s="34">
        <f>IFERROR(D8/$D$11,0)</f>
      </c>
    </row>
    <row r="9" spans="1:9" x14ac:dyDescent="0.25">
      <c r="A9" s="35" t="s">
        <v>177</v>
      </c>
      <c r="B9" s="36"/>
      <c r="C9" s="18">
        <f>SUMPRODUCT(('Work Orders'!$A$14:$A$36&lt;&gt;"")*('Work Orders'!$H$14:$H$36=""))</f>
      </c>
      <c r="D9" s="18">
        <f>SUMPRODUCT(('Work Orders'!$A$14:$A$36&lt;&gt;"")*('Work Orders'!$H$14:$H$36="")*('Work Orders'!$R$14:$R$36=1))</f>
      </c>
      <c r="E9" s="18">
        <f>C9-D9</f>
      </c>
      <c r="F9" s="37"/>
      <c r="G9" s="37"/>
      <c r="H9" s="37"/>
      <c r="I9" s="34">
        <f>IFERROR(D9/$D$11,0)</f>
      </c>
    </row>
    <row r="11" spans="1:9" x14ac:dyDescent="0.25">
      <c r="A11" s="38" t="s">
        <v>178</v>
      </c>
      <c r="B11" s="39"/>
      <c r="C11" s="12">
        <f>SUM(C4:C9)</f>
      </c>
      <c r="D11" s="12">
        <f>SUM(D4:D9)</f>
      </c>
      <c r="E11" s="12">
        <f>SUM(E4:E9)</f>
      </c>
      <c r="F11" s="40">
        <f>SUM(F4:F8)</f>
      </c>
      <c r="G11" s="41">
        <f>SUM(G4:G8)</f>
      </c>
      <c r="H11" s="40">
        <f>IFERROR(AVERAGEIFS('Work Orders'!$O$14:$O$36,'Work Orders'!$R$14:$R$36,0),0)</f>
      </c>
      <c r="I11" s="42">
        <f>SUM(I4:I9)</f>
      </c>
    </row>
  </sheetData>
  <mergeCells count="1">
    <mergeCell ref="A1:I1"/>
  </mergeCells>
  <dataValidations count="1">
    <dataValidation type="decimal" allowBlank="1" showErrorMessage="1" errorTitle="Invalid hourly rate" error="Enter a number between 0 and 1000" sqref="B4:B8">
      <formula1>0</formula1>
      <formula2>1000</formula2>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howGridLines="0"/>
  </sheetViews>
  <sheetFormatPr defaultRowHeight="15" outlineLevelRow="0" outlineLevelCol="0" x14ac:dyDescent="55"/>
  <cols>
    <col min="1" max="1" width="18" customWidth="1"/>
    <col min="2" max="3" width="12" customWidth="1"/>
    <col min="4" max="4" width="14" customWidth="1"/>
    <col min="5" max="5" width="18" customWidth="1"/>
    <col min="6" max="6" width="16" customWidth="1"/>
    <col min="7" max="7" width="18" customWidth="1"/>
    <col min="8" max="8" width="16" customWidth="1"/>
  </cols>
  <sheetData>
    <row r="1" ht="30" customHeight="1" spans="1:8" x14ac:dyDescent="0.25">
      <c r="A1" s="2" t="s">
        <v>179</v>
      </c>
      <c r="B1" s="2"/>
      <c r="C1" s="2"/>
      <c r="D1" s="2"/>
      <c r="E1" s="2"/>
      <c r="F1" s="2"/>
      <c r="G1" s="2"/>
      <c r="H1" s="2"/>
    </row>
    <row r="3" spans="1:2" x14ac:dyDescent="0.25">
      <c r="A3" s="11" t="s">
        <v>180</v>
      </c>
      <c r="B3" s="43">
        <v>46235</v>
      </c>
    </row>
    <row r="5" ht="30" customHeight="1" spans="1:8" x14ac:dyDescent="0.25">
      <c r="A5" s="13" t="s">
        <v>181</v>
      </c>
      <c r="B5" s="13" t="s">
        <v>103</v>
      </c>
      <c r="C5" s="13" t="s">
        <v>104</v>
      </c>
      <c r="D5" s="13" t="s">
        <v>182</v>
      </c>
      <c r="E5" s="13" t="s">
        <v>183</v>
      </c>
      <c r="F5" s="13" t="s">
        <v>175</v>
      </c>
      <c r="G5" s="13" t="s">
        <v>184</v>
      </c>
      <c r="H5" s="13" t="s">
        <v>185</v>
      </c>
    </row>
    <row r="6" spans="1:8" x14ac:dyDescent="0.25">
      <c r="A6" s="44">
        <f>$B$3</f>
      </c>
      <c r="B6" s="18">
        <f>COUNTIFS('Work Orders'!$B$14:$B$36,"&gt;="&amp;$A6,'Work Orders'!$B$14:$B$36,"&lt;"&amp;DATE(YEAR($A6),MONTH($A6)+1,1))</f>
      </c>
      <c r="C6" s="18">
        <f>COUNTIFS('Work Orders'!$J$14:$J$36,"&gt;="&amp;$A6,'Work Orders'!$J$14:$J$36,"&lt;"&amp;DATE(YEAR($A6),MONTH($A6)+1,1))</f>
      </c>
      <c r="D6" s="18">
        <f>B6-C6</f>
      </c>
      <c r="E6" s="18">
        <f>COUNTIFS('Work Orders'!$B$14:$B$36,"&lt;"&amp;DATE(YEAR($A6),MONTH($A6)+1,1))-COUNTIFS('Work Orders'!$J$14:$J$36,"&lt;"&amp;DATE(YEAR($A6),MONTH($A6)+1,1))</f>
      </c>
      <c r="F6" s="33">
        <f>IFERROR(AVERAGEIFS('Work Orders'!$O$14:$O$36,'Work Orders'!$J$14:$J$36,"&gt;="&amp;$A6,'Work Orders'!$J$14:$J$36,"&lt;"&amp;DATE(YEAR($A6),MONTH($A6)+1,1)),0)</f>
      </c>
      <c r="G6" s="33">
        <f>SUMIFS('Work Orders'!$K$14:$K$36,'Work Orders'!$J$14:$J$36,"&gt;="&amp;$A6,'Work Orders'!$J$14:$J$36,"&lt;"&amp;DATE(YEAR($A6),MONTH($A6)+1,1))</f>
      </c>
      <c r="H6" s="30">
        <f>SUMIFS('Work Orders'!$N$14:$N$36,'Work Orders'!$J$14:$J$36,"&gt;="&amp;$A6,'Work Orders'!$J$14:$J$36,"&lt;"&amp;DATE(YEAR($A6),MONTH($A6)+1,1))</f>
      </c>
    </row>
    <row r="7" spans="1:8" x14ac:dyDescent="0.25">
      <c r="A7" s="44">
        <f>DATE(YEAR(A6),MONTH(A6)+1,1)</f>
      </c>
      <c r="B7" s="18">
        <f>COUNTIFS('Work Orders'!$B$14:$B$36,"&gt;="&amp;$A7,'Work Orders'!$B$14:$B$36,"&lt;"&amp;DATE(YEAR($A7),MONTH($A7)+1,1))</f>
      </c>
      <c r="C7" s="18">
        <f>COUNTIFS('Work Orders'!$J$14:$J$36,"&gt;="&amp;$A7,'Work Orders'!$J$14:$J$36,"&lt;"&amp;DATE(YEAR($A7),MONTH($A7)+1,1))</f>
      </c>
      <c r="D7" s="18">
        <f>B7-C7</f>
      </c>
      <c r="E7" s="18">
        <f>COUNTIFS('Work Orders'!$B$14:$B$36,"&lt;"&amp;DATE(YEAR($A7),MONTH($A7)+1,1))-COUNTIFS('Work Orders'!$J$14:$J$36,"&lt;"&amp;DATE(YEAR($A7),MONTH($A7)+1,1))</f>
      </c>
      <c r="F7" s="33">
        <f>IFERROR(AVERAGEIFS('Work Orders'!$O$14:$O$36,'Work Orders'!$J$14:$J$36,"&gt;="&amp;$A7,'Work Orders'!$J$14:$J$36,"&lt;"&amp;DATE(YEAR($A7),MONTH($A7)+1,1)),0)</f>
      </c>
      <c r="G7" s="33">
        <f>SUMIFS('Work Orders'!$K$14:$K$36,'Work Orders'!$J$14:$J$36,"&gt;="&amp;$A7,'Work Orders'!$J$14:$J$36,"&lt;"&amp;DATE(YEAR($A7),MONTH($A7)+1,1))</f>
      </c>
      <c r="H7" s="30">
        <f>SUMIFS('Work Orders'!$N$14:$N$36,'Work Orders'!$J$14:$J$36,"&gt;="&amp;$A7,'Work Orders'!$J$14:$J$36,"&lt;"&amp;DATE(YEAR($A7),MONTH($A7)+1,1))</f>
      </c>
    </row>
    <row r="8" spans="1:8" x14ac:dyDescent="0.25">
      <c r="A8" s="44">
        <f>DATE(YEAR(A7),MONTH(A7)+1,1)</f>
      </c>
      <c r="B8" s="18">
        <f>COUNTIFS('Work Orders'!$B$14:$B$36,"&gt;="&amp;$A8,'Work Orders'!$B$14:$B$36,"&lt;"&amp;DATE(YEAR($A8),MONTH($A8)+1,1))</f>
      </c>
      <c r="C8" s="18">
        <f>COUNTIFS('Work Orders'!$J$14:$J$36,"&gt;="&amp;$A8,'Work Orders'!$J$14:$J$36,"&lt;"&amp;DATE(YEAR($A8),MONTH($A8)+1,1))</f>
      </c>
      <c r="D8" s="18">
        <f>B8-C8</f>
      </c>
      <c r="E8" s="18">
        <f>COUNTIFS('Work Orders'!$B$14:$B$36,"&lt;"&amp;DATE(YEAR($A8),MONTH($A8)+1,1))-COUNTIFS('Work Orders'!$J$14:$J$36,"&lt;"&amp;DATE(YEAR($A8),MONTH($A8)+1,1))</f>
      </c>
      <c r="F8" s="33">
        <f>IFERROR(AVERAGEIFS('Work Orders'!$O$14:$O$36,'Work Orders'!$J$14:$J$36,"&gt;="&amp;$A8,'Work Orders'!$J$14:$J$36,"&lt;"&amp;DATE(YEAR($A8),MONTH($A8)+1,1)),0)</f>
      </c>
      <c r="G8" s="33">
        <f>SUMIFS('Work Orders'!$K$14:$K$36,'Work Orders'!$J$14:$J$36,"&gt;="&amp;$A8,'Work Orders'!$J$14:$J$36,"&lt;"&amp;DATE(YEAR($A8),MONTH($A8)+1,1))</f>
      </c>
      <c r="H8" s="30">
        <f>SUMIFS('Work Orders'!$N$14:$N$36,'Work Orders'!$J$14:$J$36,"&gt;="&amp;$A8,'Work Orders'!$J$14:$J$36,"&lt;"&amp;DATE(YEAR($A8),MONTH($A8)+1,1))</f>
      </c>
    </row>
    <row r="9" spans="1:8" x14ac:dyDescent="0.25">
      <c r="A9" s="12" t="s">
        <v>186</v>
      </c>
      <c r="B9" s="12">
        <f>SUM(B6:B8)</f>
      </c>
      <c r="C9" s="12">
        <f>SUM(C6:C8)</f>
      </c>
      <c r="D9" s="12">
        <f>SUM(D6:D8)</f>
      </c>
      <c r="E9" s="12">
        <f>E8</f>
      </c>
      <c r="F9" s="40">
        <f>IFERROR(AVERAGEIFS('Work Orders'!$O$14:$O$36,'Work Orders'!$J$14:$J$36,"&gt;="&amp;$A$6,'Work Orders'!$J$14:$J$36,"&lt;"&amp;DATE(YEAR($A$8),MONTH($A$8)+1,1)),0)</f>
      </c>
      <c r="G9" s="40">
        <f>SUM(G6:G8)</f>
      </c>
      <c r="H9" s="41">
        <f>SUM(H6:H8)</f>
      </c>
    </row>
    <row r="11" spans="1:8" x14ac:dyDescent="0.25">
      <c r="A11" s="45" t="s">
        <v>187</v>
      </c>
      <c r="B11" s="45"/>
      <c r="C11" s="45"/>
      <c r="D11" s="45"/>
      <c r="E11" s="45"/>
      <c r="F11" s="45"/>
      <c r="G11" s="45"/>
      <c r="H11" s="45"/>
    </row>
    <row r="12" ht="30" customHeight="1" spans="1:8" x14ac:dyDescent="0.25">
      <c r="A12" s="13" t="s">
        <v>40</v>
      </c>
      <c r="B12" s="13" t="s">
        <v>188</v>
      </c>
      <c r="C12" s="13" t="s">
        <v>189</v>
      </c>
      <c r="D12" s="13" t="s">
        <v>112</v>
      </c>
      <c r="E12" s="13" t="s">
        <v>111</v>
      </c>
      <c r="F12" s="13" t="s">
        <v>113</v>
      </c>
      <c r="G12" s="13" t="s">
        <v>190</v>
      </c>
      <c r="H12" s="13" t="s">
        <v>175</v>
      </c>
    </row>
    <row r="13" spans="1:8" x14ac:dyDescent="0.25">
      <c r="A13" s="27" t="s">
        <v>84</v>
      </c>
      <c r="B13" s="18">
        <f>COUNTIF('Work Orders'!$F$14:$F$36,$A13)</f>
      </c>
      <c r="C13" s="18">
        <f>COUNTIFS('Work Orders'!$F$14:$F$36,$A13,'Work Orders'!$R$14:$R$36,1)</f>
      </c>
      <c r="D13" s="30">
        <f>SUMIF('Work Orders'!$F$14:$F$36,$A13,'Work Orders'!$M$14:$M$36)</f>
      </c>
      <c r="E13" s="30">
        <f>SUMIF('Work Orders'!$F$14:$F$36,$A13,'Work Orders'!$L$14:$L$36)</f>
      </c>
      <c r="F13" s="30">
        <f>D13+E13</f>
      </c>
      <c r="G13" s="34">
        <f>IFERROR(F13/$F$18,0)</f>
      </c>
      <c r="H13" s="33">
        <f>IFERROR(AVERAGEIFS('Work Orders'!$O$14:$O$36,'Work Orders'!$F$14:$F$36,$A13,'Work Orders'!$R$14:$R$36,0),0)</f>
      </c>
    </row>
    <row r="14" spans="1:8" x14ac:dyDescent="0.25">
      <c r="A14" s="27" t="s">
        <v>70</v>
      </c>
      <c r="B14" s="18">
        <f>COUNTIF('Work Orders'!$F$14:$F$36,$A14)</f>
      </c>
      <c r="C14" s="18">
        <f>COUNTIFS('Work Orders'!$F$14:$F$36,$A14,'Work Orders'!$R$14:$R$36,1)</f>
      </c>
      <c r="D14" s="30">
        <f>SUMIF('Work Orders'!$F$14:$F$36,$A14,'Work Orders'!$M$14:$M$36)</f>
      </c>
      <c r="E14" s="30">
        <f>SUMIF('Work Orders'!$F$14:$F$36,$A14,'Work Orders'!$L$14:$L$36)</f>
      </c>
      <c r="F14" s="30">
        <f>D14+E14</f>
      </c>
      <c r="G14" s="34">
        <f>IFERROR(F14/$F$18,0)</f>
      </c>
      <c r="H14" s="33">
        <f>IFERROR(AVERAGEIFS('Work Orders'!$O$14:$O$36,'Work Orders'!$F$14:$F$36,$A14,'Work Orders'!$R$14:$R$36,0),0)</f>
      </c>
    </row>
    <row r="15" spans="1:8" x14ac:dyDescent="0.25">
      <c r="A15" s="27" t="s">
        <v>64</v>
      </c>
      <c r="B15" s="18">
        <f>COUNTIF('Work Orders'!$F$14:$F$36,$A15)</f>
      </c>
      <c r="C15" s="18">
        <f>COUNTIFS('Work Orders'!$F$14:$F$36,$A15,'Work Orders'!$R$14:$R$36,1)</f>
      </c>
      <c r="D15" s="30">
        <f>SUMIF('Work Orders'!$F$14:$F$36,$A15,'Work Orders'!$M$14:$M$36)</f>
      </c>
      <c r="E15" s="30">
        <f>SUMIF('Work Orders'!$F$14:$F$36,$A15,'Work Orders'!$L$14:$L$36)</f>
      </c>
      <c r="F15" s="30">
        <f>D15+E15</f>
      </c>
      <c r="G15" s="34">
        <f>IFERROR(F15/$F$18,0)</f>
      </c>
      <c r="H15" s="33">
        <f>IFERROR(AVERAGEIFS('Work Orders'!$O$14:$O$36,'Work Orders'!$F$14:$F$36,$A15,'Work Orders'!$R$14:$R$36,0),0)</f>
      </c>
    </row>
    <row r="16" spans="1:8" x14ac:dyDescent="0.25">
      <c r="A16" s="27" t="s">
        <v>57</v>
      </c>
      <c r="B16" s="18">
        <f>COUNTIF('Work Orders'!$F$14:$F$36,$A16)</f>
      </c>
      <c r="C16" s="18">
        <f>COUNTIFS('Work Orders'!$F$14:$F$36,$A16,'Work Orders'!$R$14:$R$36,1)</f>
      </c>
      <c r="D16" s="30">
        <f>SUMIF('Work Orders'!$F$14:$F$36,$A16,'Work Orders'!$M$14:$M$36)</f>
      </c>
      <c r="E16" s="30">
        <f>SUMIF('Work Orders'!$F$14:$F$36,$A16,'Work Orders'!$L$14:$L$36)</f>
      </c>
      <c r="F16" s="30">
        <f>D16+E16</f>
      </c>
      <c r="G16" s="34">
        <f>IFERROR(F16/$F$18,0)</f>
      </c>
      <c r="H16" s="33">
        <f>IFERROR(AVERAGEIFS('Work Orders'!$O$14:$O$36,'Work Orders'!$F$14:$F$36,$A16,'Work Orders'!$R$14:$R$36,0),0)</f>
      </c>
    </row>
    <row r="17" spans="1:8" x14ac:dyDescent="0.25">
      <c r="A17" s="27" t="s">
        <v>50</v>
      </c>
      <c r="B17" s="18">
        <f>COUNTIF('Work Orders'!$F$14:$F$36,$A17)</f>
      </c>
      <c r="C17" s="18">
        <f>COUNTIFS('Work Orders'!$F$14:$F$36,$A17,'Work Orders'!$R$14:$R$36,1)</f>
      </c>
      <c r="D17" s="30">
        <f>SUMIF('Work Orders'!$F$14:$F$36,$A17,'Work Orders'!$M$14:$M$36)</f>
      </c>
      <c r="E17" s="30">
        <f>SUMIF('Work Orders'!$F$14:$F$36,$A17,'Work Orders'!$L$14:$L$36)</f>
      </c>
      <c r="F17" s="30">
        <f>D17+E17</f>
      </c>
      <c r="G17" s="34">
        <f>IFERROR(F17/$F$18,0)</f>
      </c>
      <c r="H17" s="33">
        <f>IFERROR(AVERAGEIFS('Work Orders'!$O$14:$O$36,'Work Orders'!$F$14:$F$36,$A17,'Work Orders'!$R$14:$R$36,0),0)</f>
      </c>
    </row>
    <row r="18" spans="1:8" x14ac:dyDescent="0.25">
      <c r="A18" s="46" t="s">
        <v>191</v>
      </c>
      <c r="B18" s="12">
        <f>SUM(B13:B17)</f>
      </c>
      <c r="C18" s="12">
        <f>SUM(C13:C17)</f>
      </c>
      <c r="D18" s="41">
        <f>SUM(D13:D17)</f>
      </c>
      <c r="E18" s="41">
        <f>SUM(E13:E17)</f>
      </c>
      <c r="F18" s="41">
        <f>SUM(F13:F17)</f>
      </c>
      <c r="G18" s="42">
        <f>SUM(G13:G17)</f>
      </c>
      <c r="H18" s="40">
        <f>IFERROR(AVERAGEIFS('Work Orders'!$O$14:$O$36,'Work Orders'!$R$14:$R$36,0),0)</f>
      </c>
    </row>
  </sheetData>
  <mergeCells count="2">
    <mergeCell ref="A1:H1"/>
    <mergeCell ref="A11:H11"/>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showGridLines="0"/>
  </sheetViews>
  <sheetFormatPr defaultRowHeight="15" outlineLevelRow="0" outlineLevelCol="0" x14ac:dyDescent="55"/>
  <cols>
    <col min="1" max="1" width="26" customWidth="1"/>
    <col min="2" max="2" width="22" customWidth="1"/>
    <col min="3" max="3" width="28" customWidth="1"/>
    <col min="4" max="4" width="18" customWidth="1"/>
    <col min="5" max="5" width="14" customWidth="1"/>
    <col min="6" max="6" width="18" customWidth="1"/>
  </cols>
  <sheetData>
    <row r="1" spans="1:6" x14ac:dyDescent="0.25">
      <c r="A1" s="1" t="s">
        <v>0</v>
      </c>
      <c r="B1" s="1"/>
      <c r="C1" s="1"/>
      <c r="D1" s="1"/>
      <c r="E1" s="1"/>
      <c r="F1" s="1"/>
    </row>
    <row r="2" spans="1:6" x14ac:dyDescent="0.25">
      <c r="A2" s="2"/>
      <c r="B2" s="2"/>
      <c r="C2" s="2"/>
      <c r="F2" s="2"/>
    </row>
    <row r="3" spans="1:6" x14ac:dyDescent="0.25">
      <c r="A3" s="5" t="s">
        <v>99</v>
      </c>
      <c r="B3" s="47">
        <f>'Work Orders'!$B$2</f>
      </c>
      <c r="C3" s="2"/>
      <c r="F3" s="2"/>
    </row>
    <row r="4" spans="1:6" x14ac:dyDescent="0.25">
      <c r="A4" s="2"/>
      <c r="B4" s="2"/>
      <c r="C4" s="2"/>
      <c r="F4" s="2"/>
    </row>
    <row r="5" spans="1:6" x14ac:dyDescent="0.25">
      <c r="A5" s="3" t="s">
        <v>192</v>
      </c>
      <c r="B5" s="3"/>
      <c r="C5" s="3"/>
      <c r="D5" s="3"/>
      <c r="E5" s="3"/>
      <c r="F5" s="3"/>
    </row>
    <row r="6" ht="30" customHeight="1" spans="1:6" x14ac:dyDescent="0.25">
      <c r="A6" s="13" t="s">
        <v>193</v>
      </c>
      <c r="B6" s="13" t="s">
        <v>194</v>
      </c>
      <c r="C6" s="13" t="s">
        <v>195</v>
      </c>
      <c r="F6" s="2"/>
    </row>
    <row r="7" spans="1:6" x14ac:dyDescent="0.25">
      <c r="A7" s="5" t="s">
        <v>196</v>
      </c>
      <c r="B7" s="48">
        <f>COUNTA('Work Orders'!$A$14:$A$36)</f>
      </c>
      <c r="C7" s="7" t="s">
        <v>197</v>
      </c>
      <c r="D7" s="7"/>
      <c r="E7" s="7"/>
      <c r="F7" s="7"/>
    </row>
    <row r="8" spans="1:6" x14ac:dyDescent="0.25">
      <c r="A8" s="5" t="s">
        <v>198</v>
      </c>
      <c r="B8" s="48">
        <f>SUM('Work Orders'!$R$14:$R$36)</f>
      </c>
      <c r="C8" s="7" t="s">
        <v>199</v>
      </c>
      <c r="D8" s="7"/>
      <c r="E8" s="7"/>
      <c r="F8" s="7"/>
    </row>
    <row r="9" spans="1:6" x14ac:dyDescent="0.25">
      <c r="A9" s="5" t="s">
        <v>200</v>
      </c>
      <c r="B9" s="48">
        <f>Technicians!$D$9</f>
      </c>
      <c r="C9" s="7" t="s">
        <v>201</v>
      </c>
      <c r="D9" s="7"/>
      <c r="E9" s="7"/>
      <c r="F9" s="7"/>
    </row>
    <row r="10" spans="1:6" x14ac:dyDescent="0.25">
      <c r="A10" s="5" t="s">
        <v>202</v>
      </c>
      <c r="B10" s="48">
        <f>Requests!$B$2</f>
      </c>
      <c r="C10" s="7" t="s">
        <v>203</v>
      </c>
      <c r="D10" s="7"/>
      <c r="E10" s="7"/>
      <c r="F10" s="7"/>
    </row>
    <row r="11" spans="1:6" x14ac:dyDescent="0.25">
      <c r="A11" s="5" t="s">
        <v>204</v>
      </c>
      <c r="B11" s="49">
        <f>IFERROR(AVERAGEIFS('Work Orders'!$O$14:$O$36,'Work Orders'!$R$14:$R$36,0),0)</f>
      </c>
      <c r="C11" s="7" t="s">
        <v>205</v>
      </c>
      <c r="D11" s="7"/>
      <c r="E11" s="7"/>
      <c r="F11" s="7"/>
    </row>
    <row r="12" spans="1:6" x14ac:dyDescent="0.25">
      <c r="A12" s="5" t="s">
        <v>206</v>
      </c>
      <c r="B12" s="50">
        <f>SUM('Work Orders'!$N$14:$N$36)</f>
      </c>
      <c r="C12" s="7" t="s">
        <v>207</v>
      </c>
      <c r="D12" s="7"/>
      <c r="E12" s="7"/>
      <c r="F12" s="7"/>
    </row>
    <row r="13" spans="1:6" x14ac:dyDescent="0.25">
      <c r="A13" s="2"/>
      <c r="B13" s="2"/>
      <c r="C13" s="2"/>
      <c r="F13" s="2"/>
    </row>
    <row r="14" spans="1:6" x14ac:dyDescent="0.25">
      <c r="A14" s="3" t="s">
        <v>208</v>
      </c>
      <c r="B14" s="3"/>
      <c r="C14" s="3"/>
      <c r="D14" s="3"/>
      <c r="E14" s="3"/>
      <c r="F14" s="3"/>
    </row>
    <row r="15" ht="30" customHeight="1" spans="1:6" x14ac:dyDescent="0.25">
      <c r="A15" s="13" t="s">
        <v>209</v>
      </c>
      <c r="B15" s="13" t="s">
        <v>210</v>
      </c>
      <c r="C15" s="13" t="s">
        <v>211</v>
      </c>
      <c r="F15" s="2"/>
    </row>
    <row r="16" spans="1:6" x14ac:dyDescent="0.25">
      <c r="A16" s="5" t="s">
        <v>212</v>
      </c>
      <c r="B16" s="51">
        <f>COUNTIF('Work Orders'!$Q$14:$Q$36,$A16)</f>
      </c>
      <c r="C16" s="52">
        <f>IFERROR(B16/$B$8,0)</f>
      </c>
      <c r="F16" s="2"/>
    </row>
    <row r="17" spans="1:6" x14ac:dyDescent="0.25">
      <c r="A17" s="5" t="s">
        <v>213</v>
      </c>
      <c r="B17" s="51">
        <f>COUNTIF('Work Orders'!$Q$14:$Q$36,$A17)</f>
      </c>
      <c r="C17" s="52">
        <f>IFERROR(B17/$B$8,0)</f>
      </c>
      <c r="F17" s="2"/>
    </row>
    <row r="18" spans="1:6" x14ac:dyDescent="0.25">
      <c r="A18" s="5" t="s">
        <v>214</v>
      </c>
      <c r="B18" s="51">
        <f>COUNTIF('Work Orders'!$Q$14:$Q$36,$A18)</f>
      </c>
      <c r="C18" s="52">
        <f>IFERROR(B18/$B$8,0)</f>
      </c>
      <c r="F18" s="2"/>
    </row>
    <row r="19" spans="1:6" x14ac:dyDescent="0.25">
      <c r="A19" s="2"/>
      <c r="B19" s="2"/>
      <c r="C19" s="2"/>
      <c r="F19" s="2"/>
    </row>
    <row r="20" spans="1:6" x14ac:dyDescent="0.25">
      <c r="A20" s="3" t="s">
        <v>215</v>
      </c>
      <c r="B20" s="3"/>
      <c r="C20" s="3"/>
      <c r="D20" s="3"/>
      <c r="E20" s="3"/>
      <c r="F20" s="3"/>
    </row>
    <row r="21" ht="30" customHeight="1" spans="1:6" x14ac:dyDescent="0.25">
      <c r="A21" s="13" t="s">
        <v>41</v>
      </c>
      <c r="B21" s="13" t="s">
        <v>210</v>
      </c>
      <c r="C21" s="13" t="s">
        <v>216</v>
      </c>
      <c r="F21" s="2"/>
    </row>
    <row r="22" spans="1:6" x14ac:dyDescent="0.25">
      <c r="A22" s="5" t="s">
        <v>130</v>
      </c>
      <c r="B22" s="51">
        <f>COUNTIFS('Work Orders'!$G$14:$G$36,$A22,'Work Orders'!$R$14:$R$36,1)</f>
      </c>
      <c r="C22" s="51">
        <f>SUMPRODUCT(MAX(('Work Orders'!$G$14:$G$36=$A22)*('Work Orders'!$R$14:$R$36=1)*('Work Orders'!$B$14:$B$36&lt;&gt;"")*('Work Orders'!$B$2-'Work Orders'!$B$14:$B$36)))</f>
      </c>
      <c r="F22" s="2"/>
    </row>
    <row r="23" spans="1:6" x14ac:dyDescent="0.25">
      <c r="A23" s="5" t="s">
        <v>58</v>
      </c>
      <c r="B23" s="51">
        <f>COUNTIFS('Work Orders'!$G$14:$G$36,$A23,'Work Orders'!$R$14:$R$36,1)</f>
      </c>
      <c r="C23" s="51">
        <f>SUMPRODUCT(MAX(('Work Orders'!$G$14:$G$36=$A23)*('Work Orders'!$R$14:$R$36=1)*('Work Orders'!$B$14:$B$36&lt;&gt;"")*('Work Orders'!$B$2-'Work Orders'!$B$14:$B$36)))</f>
      </c>
      <c r="F23" s="2"/>
    </row>
    <row r="24" spans="1:6" x14ac:dyDescent="0.25">
      <c r="A24" s="5" t="s">
        <v>51</v>
      </c>
      <c r="B24" s="51">
        <f>COUNTIFS('Work Orders'!$G$14:$G$36,$A24,'Work Orders'!$R$14:$R$36,1)</f>
      </c>
      <c r="C24" s="51">
        <f>SUMPRODUCT(MAX(('Work Orders'!$G$14:$G$36=$A24)*('Work Orders'!$R$14:$R$36=1)*('Work Orders'!$B$14:$B$36&lt;&gt;"")*('Work Orders'!$B$2-'Work Orders'!$B$14:$B$36)))</f>
      </c>
      <c r="F24" s="2"/>
    </row>
    <row r="25" spans="1:6" x14ac:dyDescent="0.25">
      <c r="A25" s="5" t="s">
        <v>77</v>
      </c>
      <c r="B25" s="51">
        <f>COUNTIFS('Work Orders'!$G$14:$G$36,$A25,'Work Orders'!$R$14:$R$36,1)</f>
      </c>
      <c r="C25" s="51">
        <f>SUMPRODUCT(MAX(('Work Orders'!$G$14:$G$36=$A25)*('Work Orders'!$R$14:$R$36=1)*('Work Orders'!$B$14:$B$36&lt;&gt;"")*('Work Orders'!$B$2-'Work Orders'!$B$14:$B$36)))</f>
      </c>
      <c r="F25" s="2"/>
    </row>
    <row r="26" spans="1:6" x14ac:dyDescent="0.25">
      <c r="A26" s="2"/>
      <c r="B26" s="2"/>
      <c r="C26" s="2"/>
      <c r="F26" s="2"/>
    </row>
    <row r="27" spans="1:6" x14ac:dyDescent="0.25">
      <c r="A27" s="3" t="s">
        <v>217</v>
      </c>
      <c r="B27" s="3"/>
      <c r="C27" s="3"/>
      <c r="D27" s="3"/>
      <c r="E27" s="3"/>
      <c r="F27" s="3"/>
    </row>
    <row r="28" ht="30" customHeight="1" spans="1:6" x14ac:dyDescent="0.25">
      <c r="A28" s="13" t="s">
        <v>218</v>
      </c>
      <c r="B28" s="13" t="s">
        <v>106</v>
      </c>
      <c r="C28" s="13" t="s">
        <v>39</v>
      </c>
      <c r="D28" s="13" t="s">
        <v>105</v>
      </c>
      <c r="E28" s="13" t="s">
        <v>219</v>
      </c>
      <c r="F28" s="2"/>
    </row>
    <row r="29" spans="1:6" x14ac:dyDescent="0.25">
      <c r="A29" s="53">
        <f>IFERROR(INDEX('Work Orders'!$A$14:$A$36,MATCH(LARGE('Work Orders'!$S$14:$S$36,1),'Work Orders'!$S$14:$S$36,0)),"")</f>
      </c>
      <c r="B29" s="22">
        <f>IFERROR(INDEX('Work Orders'!$D$14:$D$36,MATCH(LARGE('Work Orders'!$S$14:$S$36,1),'Work Orders'!$S$14:$S$36,0)),"")</f>
      </c>
      <c r="C29" s="22">
        <f>IFERROR(INDEX('Work Orders'!$E$14:$E$36,MATCH(LARGE('Work Orders'!$S$14:$S$36,1),'Work Orders'!$S$14:$S$36,0)),"")</f>
      </c>
      <c r="D29" s="37">
        <f>IFERROR(IF(INDEX('Work Orders'!$H$14:$H$36,MATCH(LARGE('Work Orders'!$S$14:$S$36,1),'Work Orders'!$S$14:$S$36,0))="","Unassigned",INDEX('Work Orders'!$H$14:$H$36,MATCH(LARGE('Work Orders'!$S$14:$S$36,1),'Work Orders'!$S$14:$S$36,0))),"")</f>
      </c>
      <c r="E29" s="18">
        <f>IFERROR(INDEX('Work Orders'!$P$14:$P$36,MATCH(LARGE('Work Orders'!$S$14:$S$36,1),'Work Orders'!$S$14:$S$36,0)),"")</f>
      </c>
      <c r="F29" s="2"/>
    </row>
    <row r="30" spans="1:6" x14ac:dyDescent="0.25">
      <c r="A30" s="53">
        <f>IFERROR(INDEX('Work Orders'!$A$14:$A$36,MATCH(LARGE('Work Orders'!$S$14:$S$36,2),'Work Orders'!$S$14:$S$36,0)),"")</f>
      </c>
      <c r="B30" s="22">
        <f>IFERROR(INDEX('Work Orders'!$D$14:$D$36,MATCH(LARGE('Work Orders'!$S$14:$S$36,2),'Work Orders'!$S$14:$S$36,0)),"")</f>
      </c>
      <c r="C30" s="22">
        <f>IFERROR(INDEX('Work Orders'!$E$14:$E$36,MATCH(LARGE('Work Orders'!$S$14:$S$36,2),'Work Orders'!$S$14:$S$36,0)),"")</f>
      </c>
      <c r="D30" s="37">
        <f>IFERROR(IF(INDEX('Work Orders'!$H$14:$H$36,MATCH(LARGE('Work Orders'!$S$14:$S$36,2),'Work Orders'!$S$14:$S$36,0))="","Unassigned",INDEX('Work Orders'!$H$14:$H$36,MATCH(LARGE('Work Orders'!$S$14:$S$36,2),'Work Orders'!$S$14:$S$36,0))),"")</f>
      </c>
      <c r="E30" s="18">
        <f>IFERROR(INDEX('Work Orders'!$P$14:$P$36,MATCH(LARGE('Work Orders'!$S$14:$S$36,2),'Work Orders'!$S$14:$S$36,0)),"")</f>
      </c>
      <c r="F30" s="2"/>
    </row>
    <row r="31" spans="1:6" x14ac:dyDescent="0.25">
      <c r="A31" s="53">
        <f>IFERROR(INDEX('Work Orders'!$A$14:$A$36,MATCH(LARGE('Work Orders'!$S$14:$S$36,3),'Work Orders'!$S$14:$S$36,0)),"")</f>
      </c>
      <c r="B31" s="22">
        <f>IFERROR(INDEX('Work Orders'!$D$14:$D$36,MATCH(LARGE('Work Orders'!$S$14:$S$36,3),'Work Orders'!$S$14:$S$36,0)),"")</f>
      </c>
      <c r="C31" s="22">
        <f>IFERROR(INDEX('Work Orders'!$E$14:$E$36,MATCH(LARGE('Work Orders'!$S$14:$S$36,3),'Work Orders'!$S$14:$S$36,0)),"")</f>
      </c>
      <c r="D31" s="37">
        <f>IFERROR(IF(INDEX('Work Orders'!$H$14:$H$36,MATCH(LARGE('Work Orders'!$S$14:$S$36,3),'Work Orders'!$S$14:$S$36,0))="","Unassigned",INDEX('Work Orders'!$H$14:$H$36,MATCH(LARGE('Work Orders'!$S$14:$S$36,3),'Work Orders'!$S$14:$S$36,0))),"")</f>
      </c>
      <c r="E31" s="18">
        <f>IFERROR(INDEX('Work Orders'!$P$14:$P$36,MATCH(LARGE('Work Orders'!$S$14:$S$36,3),'Work Orders'!$S$14:$S$36,0)),"")</f>
      </c>
      <c r="F31" s="2"/>
    </row>
    <row r="32" spans="1:6" x14ac:dyDescent="0.25">
      <c r="A32" s="2"/>
      <c r="B32" s="2"/>
      <c r="C32" s="2"/>
      <c r="F32" s="2"/>
    </row>
    <row r="33" ht="30" customHeight="1" spans="1:6" x14ac:dyDescent="0.25">
      <c r="A33" s="54" t="s">
        <v>32</v>
      </c>
      <c r="B33" s="54"/>
      <c r="C33" s="54"/>
      <c r="D33" s="54"/>
      <c r="E33" s="54"/>
      <c r="F33" s="54"/>
    </row>
  </sheetData>
  <mergeCells count="12">
    <mergeCell ref="A1:F1"/>
    <mergeCell ref="A5:F5"/>
    <mergeCell ref="C7:F7"/>
    <mergeCell ref="C8:F8"/>
    <mergeCell ref="C9:F9"/>
    <mergeCell ref="C10:F10"/>
    <mergeCell ref="C11:F11"/>
    <mergeCell ref="C12:F12"/>
    <mergeCell ref="A14:F14"/>
    <mergeCell ref="A20:F20"/>
    <mergeCell ref="A27:F27"/>
    <mergeCell ref="A33:F33"/>
  </mergeCells>
  <hyperlinks>
    <hyperlink ref="A33"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Requests</vt:lpstr>
      <vt:lpstr>Work Orders</vt:lpstr>
      <vt:lpstr>Technicians</vt:lpstr>
      <vt:lpstr>Monthly Report</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Excel.TV</dc:creator>
  <dc:title/>
  <dc:subject/>
  <dc:description/>
  <cp:keywords/>
  <cp:category/>
  <cp:lastModifiedBy>Excel.TV template generator</cp:lastModifiedBy>
  <dcterms:created xsi:type="dcterms:W3CDTF">2026-10-29T17:32:59Z</dcterms:created>
  <dcterms:modified xsi:type="dcterms:W3CDTF">2026-10-29T17:32:59Z</dcterms:modified>
</cp:coreProperties>
</file>